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chartsheets/sheet1.xml" ContentType="application/vnd.openxmlformats-officedocument.spreadsheetml.chart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05"/>
  <workbookPr codeName="ThisWorkbook" defaultThemeVersion="166925"/>
  <mc:AlternateContent xmlns:mc="http://schemas.openxmlformats.org/markup-compatibility/2006">
    <mc:Choice Requires="x15">
      <x15ac:absPath xmlns:x15ac="http://schemas.microsoft.com/office/spreadsheetml/2010/11/ac" url="/Users/gianlucalonginotti/Downloads/"/>
    </mc:Choice>
  </mc:AlternateContent>
  <xr:revisionPtr revIDLastSave="0" documentId="13_ncr:1_{92DB1BBD-7189-F744-9193-9957CDEDFE65}" xr6:coauthVersionLast="47" xr6:coauthVersionMax="47" xr10:uidLastSave="{00000000-0000-0000-0000-000000000000}"/>
  <bookViews>
    <workbookView xWindow="3260" yWindow="2260" windowWidth="30060" windowHeight="18120" xr2:uid="{FF1A363C-4B7B-1240-B096-831FE8B25614}"/>
  </bookViews>
  <sheets>
    <sheet name="Instructions" sheetId="8" r:id="rId1"/>
    <sheet name="1-leg trade" sheetId="1" r:id="rId2"/>
    <sheet name="P&amp;L" sheetId="7"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calcChain.xml><?xml version="1.0" encoding="utf-8"?>
<calcChain xmlns="http://schemas.openxmlformats.org/spreadsheetml/2006/main">
  <c r="C69" i="1" l="1"/>
  <c r="D69" i="1"/>
  <c r="E69" i="1"/>
  <c r="F69" i="1"/>
  <c r="G69" i="1"/>
  <c r="H69" i="1"/>
  <c r="I69" i="1"/>
  <c r="J69" i="1"/>
  <c r="B69" i="1"/>
  <c r="B89" i="1" a="1"/>
  <c r="B89" i="1" s="1"/>
  <c r="E37" i="1" s="1"/>
  <c r="B80" i="1" a="1"/>
  <c r="B80" i="1" s="1"/>
  <c r="E28" i="1" s="1"/>
  <c r="G12" i="1" a="1"/>
  <c r="G12" i="1" s="1"/>
  <c r="H157" i="1" s="1"/>
  <c r="P12" i="1"/>
  <c r="K94" i="1"/>
  <c r="C25" i="1" s="1"/>
  <c r="E94" i="1"/>
  <c r="I16" i="1"/>
  <c r="B88" i="1" s="1" a="1"/>
  <c r="B88" i="1" s="1"/>
  <c r="E36" i="1" s="1"/>
  <c r="K16" i="1"/>
  <c r="E16" i="1"/>
  <c r="AB1" i="1"/>
  <c r="E12" i="1" a="1"/>
  <c r="E12" i="1" s="1"/>
  <c r="D157" i="1" s="1"/>
  <c r="E157" i="1" s="1"/>
  <c r="B81" i="1" l="1" a="1"/>
  <c r="B81" i="1" s="1"/>
  <c r="E29" i="1" s="1"/>
  <c r="B82" i="1" a="1"/>
  <c r="B82" i="1" s="1"/>
  <c r="E30" i="1" s="1"/>
  <c r="B83" i="1" a="1"/>
  <c r="B83" i="1" s="1"/>
  <c r="E31" i="1" s="1"/>
  <c r="B73" i="1" a="1"/>
  <c r="B73" i="1" s="1"/>
  <c r="E21" i="1" s="1"/>
  <c r="C73" i="1" s="1" a="1"/>
  <c r="B74" i="1" a="1"/>
  <c r="B74" i="1" s="1"/>
  <c r="E22" i="1" s="1"/>
  <c r="K74" i="1" s="1" a="1"/>
  <c r="K74" i="1" s="1"/>
  <c r="B84" i="1" a="1"/>
  <c r="B84" i="1" s="1"/>
  <c r="E32" i="1" s="1"/>
  <c r="K84" i="1" s="1" a="1"/>
  <c r="K84" i="1" s="1"/>
  <c r="B85" i="1" a="1"/>
  <c r="B85" i="1" s="1"/>
  <c r="E33" i="1" s="1"/>
  <c r="B78" i="1" a="1"/>
  <c r="B78" i="1" s="1"/>
  <c r="E26" i="1" s="1"/>
  <c r="C78" i="1" s="1" a="1"/>
  <c r="B79" i="1" a="1"/>
  <c r="B79" i="1" s="1"/>
  <c r="E27" i="1" s="1"/>
  <c r="K79" i="1" s="1" a="1"/>
  <c r="K79" i="1" s="1"/>
  <c r="B86" i="1" a="1"/>
  <c r="B86" i="1" s="1"/>
  <c r="E34" i="1" s="1"/>
  <c r="C86" i="1" s="1" a="1"/>
  <c r="B75" i="1" a="1"/>
  <c r="B75" i="1" s="1"/>
  <c r="E23" i="1" s="1"/>
  <c r="B76" i="1" a="1"/>
  <c r="B76" i="1" s="1"/>
  <c r="E24" i="1" s="1"/>
  <c r="C76" i="1" s="1" a="1"/>
  <c r="B77" i="1" a="1"/>
  <c r="B77" i="1" s="1"/>
  <c r="E25" i="1" s="1"/>
  <c r="K77" i="1" s="1" a="1"/>
  <c r="K77" i="1" s="1"/>
  <c r="B87" i="1" a="1"/>
  <c r="B87" i="1" s="1"/>
  <c r="E35" i="1" s="1"/>
  <c r="C87" i="1" s="1" a="1"/>
  <c r="H98" i="1"/>
  <c r="H108" i="1"/>
  <c r="H118" i="1"/>
  <c r="H128" i="1"/>
  <c r="H138" i="1"/>
  <c r="H148" i="1"/>
  <c r="H99" i="1"/>
  <c r="H109" i="1"/>
  <c r="H119" i="1"/>
  <c r="H129" i="1"/>
  <c r="H139" i="1"/>
  <c r="H149" i="1"/>
  <c r="H100" i="1"/>
  <c r="H110" i="1"/>
  <c r="H120" i="1"/>
  <c r="H130" i="1"/>
  <c r="H140" i="1"/>
  <c r="H150" i="1"/>
  <c r="H101" i="1"/>
  <c r="H111" i="1"/>
  <c r="H121" i="1"/>
  <c r="H131" i="1"/>
  <c r="H141" i="1"/>
  <c r="H151" i="1"/>
  <c r="H102" i="1"/>
  <c r="H112" i="1"/>
  <c r="H122" i="1"/>
  <c r="H132" i="1"/>
  <c r="H142" i="1"/>
  <c r="H152" i="1"/>
  <c r="H103" i="1"/>
  <c r="H113" i="1"/>
  <c r="H123" i="1"/>
  <c r="H133" i="1"/>
  <c r="H143" i="1"/>
  <c r="H153" i="1"/>
  <c r="H104" i="1"/>
  <c r="H114" i="1"/>
  <c r="H124" i="1"/>
  <c r="H134" i="1"/>
  <c r="H144" i="1"/>
  <c r="H154" i="1"/>
  <c r="H105" i="1"/>
  <c r="H115" i="1"/>
  <c r="H125" i="1"/>
  <c r="H135" i="1"/>
  <c r="H145" i="1"/>
  <c r="H155" i="1"/>
  <c r="H106" i="1"/>
  <c r="H116" i="1"/>
  <c r="H126" i="1"/>
  <c r="H136" i="1"/>
  <c r="H146" i="1"/>
  <c r="H156" i="1"/>
  <c r="H97" i="1"/>
  <c r="H107" i="1"/>
  <c r="H117" i="1"/>
  <c r="H127" i="1"/>
  <c r="H137" i="1"/>
  <c r="H147" i="1"/>
  <c r="C75" i="1" a="1"/>
  <c r="K75" i="1" a="1"/>
  <c r="K75" i="1" s="1"/>
  <c r="K89" i="1" a="1"/>
  <c r="K89" i="1" s="1"/>
  <c r="C89" i="1" a="1"/>
  <c r="C80" i="1" a="1"/>
  <c r="K80" i="1" a="1"/>
  <c r="K80" i="1" s="1"/>
  <c r="C81" i="1" a="1"/>
  <c r="K81" i="1" a="1"/>
  <c r="K81" i="1" s="1"/>
  <c r="C82" i="1" a="1"/>
  <c r="K82" i="1" a="1"/>
  <c r="K82" i="1" s="1"/>
  <c r="K73" i="1" a="1"/>
  <c r="K73" i="1" s="1"/>
  <c r="C83" i="1" a="1"/>
  <c r="K83" i="1" a="1"/>
  <c r="K83" i="1" s="1"/>
  <c r="C84" i="1" a="1"/>
  <c r="C85" i="1" a="1"/>
  <c r="K85" i="1" a="1"/>
  <c r="K85" i="1" s="1"/>
  <c r="C88" i="1" a="1"/>
  <c r="K88" i="1" a="1"/>
  <c r="K88" i="1" s="1"/>
  <c r="B70" i="1" a="1"/>
  <c r="B70" i="1" s="1"/>
  <c r="E18" i="1" s="1"/>
  <c r="B72" i="1" a="1"/>
  <c r="B72" i="1" s="1"/>
  <c r="E20" i="1" s="1"/>
  <c r="B71" i="1" a="1"/>
  <c r="B71" i="1" s="1"/>
  <c r="E19" i="1" s="1"/>
  <c r="F12" i="1"/>
  <c r="D98" i="1"/>
  <c r="E98" i="1" s="1"/>
  <c r="D108" i="1"/>
  <c r="E108" i="1" s="1"/>
  <c r="D118" i="1"/>
  <c r="E118" i="1" s="1"/>
  <c r="D128" i="1"/>
  <c r="E128" i="1" s="1"/>
  <c r="D138" i="1"/>
  <c r="E138" i="1" s="1"/>
  <c r="D148" i="1"/>
  <c r="E148" i="1" s="1"/>
  <c r="D99" i="1"/>
  <c r="E99" i="1" s="1"/>
  <c r="D109" i="1"/>
  <c r="E109" i="1" s="1"/>
  <c r="D119" i="1"/>
  <c r="E119" i="1" s="1"/>
  <c r="D129" i="1"/>
  <c r="E129" i="1" s="1"/>
  <c r="D139" i="1"/>
  <c r="E139" i="1" s="1"/>
  <c r="D149" i="1"/>
  <c r="E149" i="1" s="1"/>
  <c r="D100" i="1"/>
  <c r="E100" i="1" s="1"/>
  <c r="D110" i="1"/>
  <c r="E110" i="1" s="1"/>
  <c r="D120" i="1"/>
  <c r="E120" i="1" s="1"/>
  <c r="D130" i="1"/>
  <c r="E130" i="1" s="1"/>
  <c r="D140" i="1"/>
  <c r="E140" i="1" s="1"/>
  <c r="D150" i="1"/>
  <c r="E150" i="1" s="1"/>
  <c r="D101" i="1"/>
  <c r="E101" i="1" s="1"/>
  <c r="D111" i="1"/>
  <c r="E111" i="1" s="1"/>
  <c r="D121" i="1"/>
  <c r="E121" i="1" s="1"/>
  <c r="D131" i="1"/>
  <c r="E131" i="1" s="1"/>
  <c r="D141" i="1"/>
  <c r="E141" i="1" s="1"/>
  <c r="D151" i="1"/>
  <c r="E151" i="1" s="1"/>
  <c r="D102" i="1"/>
  <c r="E102" i="1" s="1"/>
  <c r="D112" i="1"/>
  <c r="E112" i="1" s="1"/>
  <c r="D122" i="1"/>
  <c r="E122" i="1" s="1"/>
  <c r="D132" i="1"/>
  <c r="E132" i="1" s="1"/>
  <c r="D142" i="1"/>
  <c r="E142" i="1" s="1"/>
  <c r="D152" i="1"/>
  <c r="E152" i="1" s="1"/>
  <c r="D103" i="1"/>
  <c r="E103" i="1" s="1"/>
  <c r="D113" i="1"/>
  <c r="E113" i="1" s="1"/>
  <c r="D123" i="1"/>
  <c r="E123" i="1" s="1"/>
  <c r="D133" i="1"/>
  <c r="E133" i="1" s="1"/>
  <c r="D143" i="1"/>
  <c r="E143" i="1" s="1"/>
  <c r="D153" i="1"/>
  <c r="E153" i="1" s="1"/>
  <c r="D104" i="1"/>
  <c r="E104" i="1" s="1"/>
  <c r="D114" i="1"/>
  <c r="E114" i="1" s="1"/>
  <c r="D124" i="1"/>
  <c r="E124" i="1" s="1"/>
  <c r="D134" i="1"/>
  <c r="E134" i="1" s="1"/>
  <c r="D144" i="1"/>
  <c r="E144" i="1" s="1"/>
  <c r="D154" i="1"/>
  <c r="E154" i="1" s="1"/>
  <c r="D105" i="1"/>
  <c r="E105" i="1" s="1"/>
  <c r="D115" i="1"/>
  <c r="E115" i="1" s="1"/>
  <c r="D125" i="1"/>
  <c r="E125" i="1" s="1"/>
  <c r="D135" i="1"/>
  <c r="E135" i="1" s="1"/>
  <c r="D145" i="1"/>
  <c r="E145" i="1" s="1"/>
  <c r="D155" i="1"/>
  <c r="E155" i="1" s="1"/>
  <c r="D106" i="1"/>
  <c r="E106" i="1" s="1"/>
  <c r="D116" i="1"/>
  <c r="E116" i="1" s="1"/>
  <c r="D126" i="1"/>
  <c r="E126" i="1" s="1"/>
  <c r="D136" i="1"/>
  <c r="E136" i="1" s="1"/>
  <c r="D146" i="1"/>
  <c r="E146" i="1" s="1"/>
  <c r="D156" i="1"/>
  <c r="E156" i="1" s="1"/>
  <c r="D97" i="1"/>
  <c r="E97" i="1" s="1"/>
  <c r="D107" i="1"/>
  <c r="E107" i="1" s="1"/>
  <c r="D117" i="1"/>
  <c r="E117" i="1" s="1"/>
  <c r="D127" i="1"/>
  <c r="E127" i="1" s="1"/>
  <c r="D137" i="1"/>
  <c r="E137" i="1" s="1"/>
  <c r="D147" i="1"/>
  <c r="E147" i="1" s="1"/>
  <c r="K86" i="1" l="1" a="1"/>
  <c r="K86" i="1" s="1"/>
  <c r="K76" i="1" a="1"/>
  <c r="K76" i="1" s="1"/>
  <c r="C74" i="1" a="1"/>
  <c r="H22" i="1" s="1"/>
  <c r="C77" i="1" a="1"/>
  <c r="G25" i="1" s="1"/>
  <c r="C79" i="1" a="1"/>
  <c r="L27" i="1" s="1"/>
  <c r="K87" i="1" a="1"/>
  <c r="K87" i="1" s="1"/>
  <c r="S89" i="1"/>
  <c r="K78" i="1" a="1"/>
  <c r="K78" i="1" s="1"/>
  <c r="S75" i="1"/>
  <c r="S81" i="1"/>
  <c r="S77" i="1"/>
  <c r="S79" i="1"/>
  <c r="S73" i="1"/>
  <c r="S83" i="1"/>
  <c r="S80" i="1"/>
  <c r="S84" i="1"/>
  <c r="S85" i="1"/>
  <c r="S82" i="1"/>
  <c r="S88" i="1"/>
  <c r="S74" i="1"/>
  <c r="C71" i="1" a="1"/>
  <c r="K71" i="1" a="1"/>
  <c r="C86" i="1"/>
  <c r="F34" i="1" s="1"/>
  <c r="M34" i="1"/>
  <c r="G34" i="1"/>
  <c r="H34" i="1"/>
  <c r="I34" i="1"/>
  <c r="J34" i="1"/>
  <c r="K34" i="1"/>
  <c r="L34" i="1"/>
  <c r="C83" i="1"/>
  <c r="F31" i="1" s="1"/>
  <c r="G31" i="1"/>
  <c r="H31" i="1"/>
  <c r="I31" i="1"/>
  <c r="J31" i="1"/>
  <c r="K31" i="1"/>
  <c r="L31" i="1"/>
  <c r="M31" i="1"/>
  <c r="C72" i="1" a="1"/>
  <c r="K72" i="1" a="1"/>
  <c r="C73" i="1"/>
  <c r="F21" i="1" s="1"/>
  <c r="G21" i="1"/>
  <c r="H21" i="1"/>
  <c r="I21" i="1"/>
  <c r="J21" i="1"/>
  <c r="K21" i="1"/>
  <c r="L21" i="1"/>
  <c r="M21" i="1"/>
  <c r="C80" i="1"/>
  <c r="F28" i="1" s="1"/>
  <c r="K28" i="1"/>
  <c r="L28" i="1"/>
  <c r="M28" i="1"/>
  <c r="G28" i="1"/>
  <c r="H28" i="1"/>
  <c r="F144" i="1" s="1"/>
  <c r="G144" i="1" s="1"/>
  <c r="I144" i="1" s="1"/>
  <c r="I28" i="1"/>
  <c r="J28" i="1"/>
  <c r="C76" i="1"/>
  <c r="F24" i="1" s="1"/>
  <c r="M24" i="1"/>
  <c r="G24" i="1"/>
  <c r="H24" i="1"/>
  <c r="I24" i="1"/>
  <c r="J24" i="1"/>
  <c r="K24" i="1"/>
  <c r="L24" i="1"/>
  <c r="C89" i="1"/>
  <c r="F37" i="1" s="1"/>
  <c r="I37" i="1"/>
  <c r="J37" i="1"/>
  <c r="K37" i="1"/>
  <c r="L37" i="1"/>
  <c r="M37" i="1"/>
  <c r="G37" i="1"/>
  <c r="H37" i="1"/>
  <c r="C85" i="1"/>
  <c r="F33" i="1" s="1"/>
  <c r="K33" i="1"/>
  <c r="L33" i="1"/>
  <c r="M33" i="1"/>
  <c r="G33" i="1"/>
  <c r="H33" i="1"/>
  <c r="I33" i="1"/>
  <c r="J33" i="1"/>
  <c r="C82" i="1"/>
  <c r="F30" i="1" s="1"/>
  <c r="G30" i="1"/>
  <c r="H30" i="1"/>
  <c r="I30" i="1"/>
  <c r="J30" i="1"/>
  <c r="K30" i="1"/>
  <c r="L30" i="1"/>
  <c r="M30" i="1"/>
  <c r="K70" i="1" a="1"/>
  <c r="C70" i="1" a="1"/>
  <c r="C88" i="1"/>
  <c r="F36" i="1" s="1"/>
  <c r="G36" i="1"/>
  <c r="H36" i="1"/>
  <c r="I36" i="1"/>
  <c r="J36" i="1"/>
  <c r="K36" i="1"/>
  <c r="L36" i="1"/>
  <c r="M36" i="1"/>
  <c r="C81" i="1"/>
  <c r="F29" i="1" s="1"/>
  <c r="M29" i="1"/>
  <c r="G29" i="1"/>
  <c r="H29" i="1"/>
  <c r="I29" i="1"/>
  <c r="J29" i="1"/>
  <c r="K29" i="1"/>
  <c r="L29" i="1"/>
  <c r="C78" i="1"/>
  <c r="F26" i="1" s="1"/>
  <c r="G26" i="1"/>
  <c r="H26" i="1"/>
  <c r="I26" i="1"/>
  <c r="J26" i="1"/>
  <c r="K26" i="1"/>
  <c r="L26" i="1"/>
  <c r="M26" i="1"/>
  <c r="C87" i="1"/>
  <c r="F35" i="1" s="1"/>
  <c r="G35" i="1"/>
  <c r="H35" i="1"/>
  <c r="I35" i="1"/>
  <c r="J35" i="1"/>
  <c r="K35" i="1"/>
  <c r="L35" i="1"/>
  <c r="M35" i="1"/>
  <c r="C84" i="1"/>
  <c r="F32" i="1" s="1"/>
  <c r="I32" i="1"/>
  <c r="J32" i="1"/>
  <c r="K32" i="1"/>
  <c r="L32" i="1"/>
  <c r="M32" i="1"/>
  <c r="G32" i="1"/>
  <c r="H32" i="1"/>
  <c r="C75" i="1"/>
  <c r="F23" i="1" s="1"/>
  <c r="K23" i="1"/>
  <c r="L23" i="1"/>
  <c r="M23" i="1"/>
  <c r="G23" i="1"/>
  <c r="H23" i="1"/>
  <c r="I23" i="1"/>
  <c r="J23" i="1"/>
  <c r="L16" i="1" a="1"/>
  <c r="L16" i="1" s="1"/>
  <c r="S86" i="1" l="1"/>
  <c r="S76" i="1"/>
  <c r="S87" i="1"/>
  <c r="J25" i="1"/>
  <c r="J27" i="1"/>
  <c r="I27" i="1"/>
  <c r="H25" i="1"/>
  <c r="I25" i="1"/>
  <c r="L22" i="1"/>
  <c r="K22" i="1"/>
  <c r="J22" i="1"/>
  <c r="G22" i="1"/>
  <c r="M22" i="1"/>
  <c r="I22" i="1"/>
  <c r="M25" i="1"/>
  <c r="L25" i="1"/>
  <c r="C74" i="1"/>
  <c r="F22" i="1" s="1"/>
  <c r="K25" i="1"/>
  <c r="C77" i="1"/>
  <c r="F25" i="1" s="1"/>
  <c r="H27" i="1"/>
  <c r="G27" i="1"/>
  <c r="K27" i="1"/>
  <c r="C79" i="1"/>
  <c r="F27" i="1" s="1"/>
  <c r="M27" i="1"/>
  <c r="S78" i="1"/>
  <c r="F148" i="1"/>
  <c r="G148" i="1" s="1"/>
  <c r="I148" i="1" s="1"/>
  <c r="F153" i="1"/>
  <c r="G153" i="1" s="1"/>
  <c r="I153" i="1" s="1"/>
  <c r="P94" i="1"/>
  <c r="C30" i="1" s="1"/>
  <c r="F115" i="1"/>
  <c r="G115" i="1" s="1"/>
  <c r="I115" i="1" s="1"/>
  <c r="F118" i="1"/>
  <c r="G118" i="1" s="1"/>
  <c r="I118" i="1" s="1"/>
  <c r="F154" i="1"/>
  <c r="G154" i="1" s="1"/>
  <c r="I154" i="1" s="1"/>
  <c r="F107" i="1"/>
  <c r="G107" i="1" s="1"/>
  <c r="I107" i="1" s="1"/>
  <c r="F147" i="1"/>
  <c r="G147" i="1" s="1"/>
  <c r="I147" i="1" s="1"/>
  <c r="F134" i="1"/>
  <c r="G134" i="1" s="1"/>
  <c r="I134" i="1" s="1"/>
  <c r="F105" i="1"/>
  <c r="G105" i="1" s="1"/>
  <c r="I105" i="1" s="1"/>
  <c r="F152" i="1"/>
  <c r="G152" i="1" s="1"/>
  <c r="I152" i="1" s="1"/>
  <c r="F119" i="1"/>
  <c r="G119" i="1" s="1"/>
  <c r="I119" i="1" s="1"/>
  <c r="F139" i="1"/>
  <c r="G139" i="1" s="1"/>
  <c r="I139" i="1" s="1"/>
  <c r="F111" i="1"/>
  <c r="G111" i="1" s="1"/>
  <c r="I111" i="1" s="1"/>
  <c r="F122" i="1"/>
  <c r="G122" i="1" s="1"/>
  <c r="I122" i="1" s="1"/>
  <c r="F121" i="1"/>
  <c r="G121" i="1" s="1"/>
  <c r="I121" i="1" s="1"/>
  <c r="F145" i="1"/>
  <c r="G145" i="1" s="1"/>
  <c r="I145" i="1" s="1"/>
  <c r="F130" i="1"/>
  <c r="G130" i="1" s="1"/>
  <c r="I130" i="1" s="1"/>
  <c r="F109" i="1"/>
  <c r="G109" i="1" s="1"/>
  <c r="I109" i="1" s="1"/>
  <c r="F113" i="1"/>
  <c r="G113" i="1" s="1"/>
  <c r="I113" i="1" s="1"/>
  <c r="F125" i="1"/>
  <c r="G125" i="1" s="1"/>
  <c r="I125" i="1" s="1"/>
  <c r="F150" i="1"/>
  <c r="G150" i="1" s="1"/>
  <c r="I150" i="1" s="1"/>
  <c r="F124" i="1"/>
  <c r="G124" i="1" s="1"/>
  <c r="I124" i="1" s="1"/>
  <c r="F116" i="1"/>
  <c r="G116" i="1" s="1"/>
  <c r="I116" i="1" s="1"/>
  <c r="F131" i="1"/>
  <c r="G131" i="1" s="1"/>
  <c r="I131" i="1" s="1"/>
  <c r="F133" i="1"/>
  <c r="G133" i="1" s="1"/>
  <c r="I133" i="1" s="1"/>
  <c r="F110" i="1"/>
  <c r="G110" i="1" s="1"/>
  <c r="I110" i="1" s="1"/>
  <c r="F155" i="1"/>
  <c r="G155" i="1" s="1"/>
  <c r="I155" i="1" s="1"/>
  <c r="F156" i="1"/>
  <c r="G156" i="1" s="1"/>
  <c r="I156" i="1" s="1"/>
  <c r="F104" i="1"/>
  <c r="G104" i="1" s="1"/>
  <c r="I104" i="1" s="1"/>
  <c r="F142" i="1"/>
  <c r="G142" i="1" s="1"/>
  <c r="I142" i="1" s="1"/>
  <c r="F157" i="1"/>
  <c r="G157" i="1" s="1"/>
  <c r="I157" i="1" s="1"/>
  <c r="F126" i="1"/>
  <c r="G126" i="1" s="1"/>
  <c r="I126" i="1" s="1"/>
  <c r="F114" i="1"/>
  <c r="G114" i="1" s="1"/>
  <c r="I114" i="1" s="1"/>
  <c r="F151" i="1"/>
  <c r="G151" i="1" s="1"/>
  <c r="I151" i="1" s="1"/>
  <c r="F146" i="1"/>
  <c r="G146" i="1" s="1"/>
  <c r="I146" i="1" s="1"/>
  <c r="F99" i="1"/>
  <c r="G99" i="1" s="1"/>
  <c r="I99" i="1" s="1"/>
  <c r="F98" i="1"/>
  <c r="G98" i="1" s="1"/>
  <c r="I98" i="1" s="1"/>
  <c r="F135" i="1"/>
  <c r="G135" i="1" s="1"/>
  <c r="I135" i="1" s="1"/>
  <c r="F103" i="1"/>
  <c r="G103" i="1" s="1"/>
  <c r="I103" i="1" s="1"/>
  <c r="F117" i="1"/>
  <c r="G117" i="1" s="1"/>
  <c r="I117" i="1" s="1"/>
  <c r="F138" i="1"/>
  <c r="G138" i="1" s="1"/>
  <c r="I138" i="1" s="1"/>
  <c r="F132" i="1"/>
  <c r="G132" i="1" s="1"/>
  <c r="I132" i="1" s="1"/>
  <c r="F129" i="1"/>
  <c r="G129" i="1" s="1"/>
  <c r="I129" i="1" s="1"/>
  <c r="F127" i="1"/>
  <c r="G127" i="1" s="1"/>
  <c r="I127" i="1" s="1"/>
  <c r="F100" i="1"/>
  <c r="G100" i="1" s="1"/>
  <c r="I100" i="1" s="1"/>
  <c r="F112" i="1"/>
  <c r="G112" i="1" s="1"/>
  <c r="I112" i="1" s="1"/>
  <c r="F137" i="1"/>
  <c r="G137" i="1" s="1"/>
  <c r="I137" i="1" s="1"/>
  <c r="F143" i="1"/>
  <c r="G143" i="1" s="1"/>
  <c r="I143" i="1" s="1"/>
  <c r="F136" i="1"/>
  <c r="G136" i="1" s="1"/>
  <c r="I136" i="1" s="1"/>
  <c r="F141" i="1"/>
  <c r="G141" i="1" s="1"/>
  <c r="I141" i="1" s="1"/>
  <c r="F128" i="1"/>
  <c r="G128" i="1" s="1"/>
  <c r="I128" i="1" s="1"/>
  <c r="F102" i="1"/>
  <c r="G102" i="1" s="1"/>
  <c r="I102" i="1" s="1"/>
  <c r="F149" i="1"/>
  <c r="G149" i="1" s="1"/>
  <c r="I149" i="1" s="1"/>
  <c r="F106" i="1"/>
  <c r="G106" i="1" s="1"/>
  <c r="I106" i="1" s="1"/>
  <c r="F101" i="1"/>
  <c r="G101" i="1" s="1"/>
  <c r="I101" i="1" s="1"/>
  <c r="F108" i="1"/>
  <c r="G108" i="1" s="1"/>
  <c r="I108" i="1" s="1"/>
  <c r="K71" i="1"/>
  <c r="Q71" i="1" s="1"/>
  <c r="N19" i="1" s="1"/>
  <c r="S71" i="1"/>
  <c r="P19" i="1" s="1"/>
  <c r="F97" i="1"/>
  <c r="G97" i="1" s="1"/>
  <c r="I97" i="1" s="1"/>
  <c r="K72" i="1"/>
  <c r="S72" i="1"/>
  <c r="P20" i="1" s="1"/>
  <c r="K70" i="1"/>
  <c r="Q70" i="1" s="1"/>
  <c r="N18" i="1" s="1"/>
  <c r="S70" i="1"/>
  <c r="P18" i="1" s="1"/>
  <c r="F140" i="1"/>
  <c r="G140" i="1" s="1"/>
  <c r="I140" i="1" s="1"/>
  <c r="F123" i="1"/>
  <c r="G123" i="1" s="1"/>
  <c r="I123" i="1" s="1"/>
  <c r="F120" i="1"/>
  <c r="G120" i="1" s="1"/>
  <c r="I120" i="1" s="1"/>
  <c r="C70" i="1"/>
  <c r="F18" i="1" s="1"/>
  <c r="L18" i="1"/>
  <c r="M18" i="1"/>
  <c r="G18" i="1"/>
  <c r="H18" i="1"/>
  <c r="I18" i="1"/>
  <c r="J18" i="1"/>
  <c r="K18" i="1"/>
  <c r="C72" i="1"/>
  <c r="F20" i="1" s="1"/>
  <c r="G20" i="1"/>
  <c r="H20" i="1"/>
  <c r="I20" i="1"/>
  <c r="J20" i="1"/>
  <c r="K20" i="1"/>
  <c r="L20" i="1"/>
  <c r="M20" i="1"/>
  <c r="C71" i="1"/>
  <c r="F19" i="1" s="1"/>
  <c r="M19" i="1"/>
  <c r="G19" i="1"/>
  <c r="H19" i="1"/>
  <c r="I19" i="1"/>
  <c r="J19" i="1"/>
  <c r="K19" i="1"/>
  <c r="L19" i="1"/>
  <c r="R84" i="1"/>
  <c r="O32" i="1" s="1"/>
  <c r="R82" i="1"/>
  <c r="O30" i="1" s="1"/>
  <c r="T85" i="1"/>
  <c r="Q33" i="1" s="1"/>
  <c r="U70" i="1"/>
  <c r="R18" i="1" s="1"/>
  <c r="V86" i="1"/>
  <c r="S34" i="1" s="1"/>
  <c r="Q76" i="1"/>
  <c r="N24" i="1" s="1"/>
  <c r="Q85" i="1"/>
  <c r="N33" i="1" s="1"/>
  <c r="V81" i="1"/>
  <c r="S29" i="1" s="1"/>
  <c r="T89" i="1"/>
  <c r="Q37" i="1" s="1"/>
  <c r="R79" i="1"/>
  <c r="O27" i="1" s="1"/>
  <c r="T72" i="1"/>
  <c r="Q20" i="1" s="1"/>
  <c r="Q74" i="1"/>
  <c r="N22" i="1" s="1"/>
  <c r="V73" i="1"/>
  <c r="S21" i="1" s="1"/>
  <c r="U84" i="1"/>
  <c r="R32" i="1" s="1"/>
  <c r="U88" i="1"/>
  <c r="R36" i="1" s="1"/>
  <c r="U87" i="1"/>
  <c r="R35" i="1" s="1"/>
  <c r="V80" i="1"/>
  <c r="S28" i="1" s="1"/>
  <c r="T76" i="1"/>
  <c r="Q24" i="1" s="1"/>
  <c r="Q73" i="1"/>
  <c r="N21" i="1" s="1"/>
  <c r="T79" i="1"/>
  <c r="Q27" i="1" s="1"/>
  <c r="R83" i="1"/>
  <c r="O31" i="1" s="1"/>
  <c r="V84" i="1"/>
  <c r="S32" i="1" s="1"/>
  <c r="U74" i="1"/>
  <c r="R22" i="1" s="1"/>
  <c r="T71" i="1"/>
  <c r="Q19" i="1" s="1"/>
  <c r="T88" i="1"/>
  <c r="Q36" i="1" s="1"/>
  <c r="U81" i="1"/>
  <c r="R29" i="1" s="1"/>
  <c r="T87" i="1"/>
  <c r="Q35" i="1" s="1"/>
  <c r="U71" i="1"/>
  <c r="R19" i="1" s="1"/>
  <c r="U79" i="1"/>
  <c r="R27" i="1" s="1"/>
  <c r="V89" i="1"/>
  <c r="S37" i="1" s="1"/>
  <c r="R88" i="1"/>
  <c r="O36" i="1" s="1"/>
  <c r="T80" i="1"/>
  <c r="Q28" i="1" s="1"/>
  <c r="U78" i="1"/>
  <c r="R26" i="1" s="1"/>
  <c r="R86" i="1"/>
  <c r="O34" i="1" s="1"/>
  <c r="R87" i="1"/>
  <c r="O35" i="1" s="1"/>
  <c r="Q77" i="1"/>
  <c r="N25" i="1" s="1"/>
  <c r="V75" i="1"/>
  <c r="S23" i="1" s="1"/>
  <c r="V85" i="1"/>
  <c r="S33" i="1" s="1"/>
  <c r="U86" i="1"/>
  <c r="R34" i="1" s="1"/>
  <c r="R75" i="1"/>
  <c r="O23" i="1" s="1"/>
  <c r="V87" i="1"/>
  <c r="S35" i="1" s="1"/>
  <c r="Q72" i="1"/>
  <c r="N20" i="1" s="1"/>
  <c r="U89" i="1"/>
  <c r="R37" i="1" s="1"/>
  <c r="R76" i="1"/>
  <c r="O24" i="1" s="1"/>
  <c r="U75" i="1"/>
  <c r="R23" i="1" s="1"/>
  <c r="R78" i="1"/>
  <c r="O26" i="1" s="1"/>
  <c r="Q78" i="1"/>
  <c r="N26" i="1" s="1"/>
  <c r="Q75" i="1"/>
  <c r="N23" i="1" s="1"/>
  <c r="U72" i="1"/>
  <c r="R20" i="1" s="1"/>
  <c r="V74" i="1"/>
  <c r="S22" i="1" s="1"/>
  <c r="R85" i="1"/>
  <c r="O33" i="1" s="1"/>
  <c r="T84" i="1"/>
  <c r="Q32" i="1" s="1"/>
  <c r="T74" i="1"/>
  <c r="Q22" i="1" s="1"/>
  <c r="V72" i="1"/>
  <c r="S20" i="1" s="1"/>
  <c r="Q87" i="1"/>
  <c r="N35" i="1" s="1"/>
  <c r="V76" i="1"/>
  <c r="S24" i="1" s="1"/>
  <c r="V82" i="1"/>
  <c r="S30" i="1" s="1"/>
  <c r="T78" i="1"/>
  <c r="Q26" i="1" s="1"/>
  <c r="T70" i="1"/>
  <c r="Q18" i="1" s="1"/>
  <c r="R73" i="1"/>
  <c r="O21" i="1" s="1"/>
  <c r="Q88" i="1"/>
  <c r="N36" i="1" s="1"/>
  <c r="V70" i="1"/>
  <c r="S18" i="1" s="1"/>
  <c r="U76" i="1"/>
  <c r="R24" i="1" s="1"/>
  <c r="V71" i="1"/>
  <c r="S19" i="1" s="1"/>
  <c r="R80" i="1"/>
  <c r="O28" i="1" s="1"/>
  <c r="U82" i="1"/>
  <c r="R30" i="1" s="1"/>
  <c r="R77" i="1"/>
  <c r="O25" i="1" s="1"/>
  <c r="T75" i="1"/>
  <c r="Q23" i="1" s="1"/>
  <c r="U85" i="1"/>
  <c r="R33" i="1" s="1"/>
  <c r="R89" i="1"/>
  <c r="O37" i="1" s="1"/>
  <c r="Q82" i="1"/>
  <c r="N30" i="1" s="1"/>
  <c r="V79" i="1"/>
  <c r="S27" i="1" s="1"/>
  <c r="U77" i="1"/>
  <c r="R25" i="1" s="1"/>
  <c r="Q86" i="1"/>
  <c r="N34" i="1" s="1"/>
  <c r="R71" i="1"/>
  <c r="O19" i="1" s="1"/>
  <c r="V88" i="1"/>
  <c r="S36" i="1" s="1"/>
  <c r="V83" i="1"/>
  <c r="S31" i="1" s="1"/>
  <c r="Q83" i="1"/>
  <c r="N31" i="1" s="1"/>
  <c r="T77" i="1"/>
  <c r="Q25" i="1" s="1"/>
  <c r="T83" i="1"/>
  <c r="Q31" i="1" s="1"/>
  <c r="T86" i="1"/>
  <c r="Q34" i="1" s="1"/>
  <c r="Q89" i="1"/>
  <c r="N37" i="1" s="1"/>
  <c r="V77" i="1"/>
  <c r="S25" i="1" s="1"/>
  <c r="U80" i="1"/>
  <c r="R28" i="1" s="1"/>
  <c r="U83" i="1"/>
  <c r="R31" i="1" s="1"/>
  <c r="T82" i="1"/>
  <c r="Q30" i="1" s="1"/>
  <c r="R72" i="1"/>
  <c r="O20" i="1" s="1"/>
  <c r="Q84" i="1"/>
  <c r="N32" i="1" s="1"/>
  <c r="T73" i="1"/>
  <c r="Q21" i="1" s="1"/>
  <c r="R74" i="1"/>
  <c r="O22" i="1" s="1"/>
  <c r="U73" i="1"/>
  <c r="R21" i="1" s="1"/>
  <c r="Q81" i="1"/>
  <c r="N29" i="1" s="1"/>
  <c r="R70" i="1"/>
  <c r="O18" i="1" s="1"/>
  <c r="Q80" i="1"/>
  <c r="N28" i="1" s="1"/>
  <c r="T81" i="1"/>
  <c r="Q29" i="1" s="1"/>
  <c r="V78" i="1"/>
  <c r="S26" i="1" s="1"/>
  <c r="Q79" i="1"/>
  <c r="N27" i="1" s="1"/>
  <c r="R81" i="1"/>
  <c r="O29" i="1" s="1"/>
  <c r="P26" i="1"/>
  <c r="P24" i="1"/>
  <c r="P27" i="1"/>
  <c r="P37" i="1"/>
  <c r="P34" i="1"/>
  <c r="P21" i="1"/>
  <c r="P22" i="1"/>
  <c r="P33" i="1"/>
  <c r="P31" i="1"/>
  <c r="P32" i="1"/>
  <c r="P36" i="1"/>
  <c r="P29" i="1"/>
  <c r="P23" i="1"/>
  <c r="P30" i="1"/>
  <c r="P35" i="1"/>
  <c r="P28" i="1"/>
  <c r="P25" i="1"/>
  <c r="M118" i="1" l="1" a="1"/>
  <c r="M118" i="1" s="1"/>
  <c r="M120" i="1" s="1"/>
  <c r="M117" i="1" a="1"/>
  <c r="M117" i="1" s="1"/>
  <c r="M119" i="1" s="1"/>
  <c r="M121" i="1" l="1"/>
  <c r="C34" i="1"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<sst xmlns="http://schemas.openxmlformats.org/spreadsheetml/2006/main" count="88" uniqueCount="65">
  <si>
    <t>Ticker</t>
  </si>
  <si>
    <t>Price</t>
  </si>
  <si>
    <t>Expiration date</t>
  </si>
  <si>
    <t>DTE</t>
  </si>
  <si>
    <t>Strike price</t>
  </si>
  <si>
    <t>Bid</t>
  </si>
  <si>
    <t>Ask</t>
  </si>
  <si>
    <t>Delta</t>
  </si>
  <si>
    <t>Theta</t>
  </si>
  <si>
    <t>Position type</t>
  </si>
  <si>
    <t>P&amp;L</t>
  </si>
  <si>
    <t>Expiration</t>
  </si>
  <si>
    <t>Strike prices</t>
  </si>
  <si>
    <t>Mid</t>
  </si>
  <si>
    <t>IV</t>
  </si>
  <si>
    <t>Spread</t>
  </si>
  <si>
    <t>Vega</t>
  </si>
  <si>
    <t>Extr. Value</t>
  </si>
  <si>
    <t>Intr. Value</t>
  </si>
  <si>
    <t>Prob. OTM</t>
  </si>
  <si>
    <t>OI</t>
  </si>
  <si>
    <t>Volume</t>
  </si>
  <si>
    <t>Vol. Power</t>
  </si>
  <si>
    <t>Underlying price</t>
  </si>
  <si>
    <t>Old position P&amp;L at
expiration</t>
  </si>
  <si>
    <t>New position P&amp;L at
expiration</t>
  </si>
  <si>
    <r>
      <t xml:space="preserve">Future expiration
</t>
    </r>
    <r>
      <rPr>
        <i/>
        <sz val="10"/>
        <color theme="1"/>
        <rFont val="Calibri (Body)"/>
      </rPr>
      <t>(for rolling)</t>
    </r>
  </si>
  <si>
    <t>Strike</t>
  </si>
  <si>
    <t>Choose strike to evaluate</t>
  </si>
  <si>
    <t>Old Breakeven</t>
  </si>
  <si>
    <t>New Breakeven</t>
  </si>
  <si>
    <t>Rolling Strike</t>
  </si>
  <si>
    <t>Step 1 - Enter Current Position</t>
  </si>
  <si>
    <t>Step 2 - Check Current Position</t>
  </si>
  <si>
    <t>Step 3 - Check Future Position</t>
  </si>
  <si>
    <t>Select 
future strike</t>
  </si>
  <si>
    <t>Current Position</t>
  </si>
  <si>
    <t>Table view</t>
  </si>
  <si>
    <t>Difference old vs new - helper table</t>
  </si>
  <si>
    <t>New trade</t>
  </si>
  <si>
    <t>Old trade - new trade</t>
  </si>
  <si>
    <t>Entry option price</t>
  </si>
  <si>
    <t>Loss or Profit from old position as of today</t>
  </si>
  <si>
    <t>Final P&amp;L</t>
  </si>
  <si>
    <t>Total P&amp;L
(expiration) without considering loss or profit from old position as of today</t>
  </si>
  <si>
    <t>Final Breakeven (approx.)</t>
  </si>
  <si>
    <t>last neg</t>
  </si>
  <si>
    <t>first pos</t>
  </si>
  <si>
    <t>p&amp;l first pos</t>
  </si>
  <si>
    <t>p&amp;l last neg</t>
  </si>
  <si>
    <t>BE Finder</t>
  </si>
  <si>
    <t>interpolation</t>
  </si>
  <si>
    <t>Links:</t>
  </si>
  <si>
    <t>Option Samurai</t>
  </si>
  <si>
    <t>Installation help</t>
  </si>
  <si>
    <t>Excel integration help article</t>
  </si>
  <si>
    <t>Blog post about this template</t>
  </si>
  <si>
    <t>Description</t>
  </si>
  <si>
    <t>Instructions</t>
  </si>
  <si>
    <t>Rolling Options Template</t>
  </si>
  <si>
    <t>The Rolling Options Template is designed to help you manage existing option positions in your portfolio by evaluating different rolling alternatives. Given an initial position (long call, long put, naked put, or naked call), the template lets you test how rolling affects your strategy’s payoff, breakeven price, and overall P&amp;L graph. This makes it easier to visualize the impact of rolling whether you are:
1) Locking in profits and re-opening the position at a new level, or
2) Managing a temporary loss with the expectation of recovery.
You can explore rolls to both different expirations and different strike prices, giving you a flexible tool to compare outcomes and make more informed trading decisions.</t>
  </si>
  <si>
    <t>1. Start from the “1-leg trade” tab.
2. In the Step 1 table, enter the details of your existing trade: ticker, position type, strike price, expiration date, entry option price, and the future expiration you want to consider for the roll.
3. Review Step 2, which shows your current position and P&amp;L. This step helps you verify that the data has been entered correctly (compare with your broker’s platform).
4. Move to Step 3, where you can choose the rolling strike. This table displays the options you are evaluating in the chain, while the last columns highlight key differences between the old and new values (implied volatility, extrinsic value, and intrinsic value).
5. Open the “P&amp;L” tab to see side-by-side comparisons of your old position, your new position, and the aggregated P&amp;L.</t>
  </si>
  <si>
    <t>AAPL</t>
  </si>
  <si>
    <t>Long Put</t>
  </si>
  <si>
    <t>Difference old vs new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</si>
</sst>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409]* #,##0.00_ ;_-[$$-409]* \-#,##0.00\ ;_-[$$-409]* &quot;-&quot;??_ ;_-@_ "/>
    <numFmt numFmtId="165" formatCode="0.0%"/>
  </numFmts>
  <fonts count="18" x14ac:knownFonts="1">
    <font>
      <sz val="12"/>
      <color theme="1"/>
      <name val="Calibri"/>
      <family val="2"/>
      <scheme val="minor"/>
    </font>
    <font>
      <sz val="12"/>
      <color theme="1"/>
      <name val="Calibri"/>
      <family val="2"/>
      <scheme val="minor"/>
    </font>
    <font>
      <b/>
      <sz val="12"/>
      <color theme="1"/>
      <name val="Calibri"/>
      <family val="2"/>
      <scheme val="minor"/>
    </font>
    <font>
      <sz val="12"/>
      <color theme="0"/>
      <name val="Calibri"/>
      <family val="2"/>
      <scheme val="minor"/>
    </font>
    <font>
      <i/>
      <sz val="10"/>
      <color theme="1"/>
      <name val="Calibri (Body)"/>
    </font>
    <font>
      <b/>
      <sz val="12"/>
      <color theme="0"/>
      <name val="Calibri"/>
      <family val="2"/>
      <scheme val="minor"/>
    </font>
    <font>
      <b/>
      <sz val="18"/>
      <color theme="0"/>
      <name val="Calibri"/>
      <family val="2"/>
      <scheme val="minor"/>
    </font>
    <font>
      <b/>
      <sz val="24"/>
      <color theme="0"/>
      <name val="Calibri"/>
      <family val="2"/>
      <scheme val="minor"/>
    </font>
    <font>
      <b/>
      <sz val="18"/>
      <color theme="1"/>
      <name val="Calibri"/>
      <family val="2"/>
      <scheme val="minor"/>
    </font>
    <font>
      <i/>
      <sz val="9"/>
      <color theme="1"/>
      <name val="Calibri"/>
      <family val="2"/>
      <scheme val="minor"/>
    </font>
    <font>
      <b/>
      <u/>
      <sz val="18"/>
      <color theme="0"/>
      <name val="Calibri"/>
      <family val="2"/>
      <scheme val="minor"/>
    </font>
    <font>
      <sz val="18"/>
      <color theme="1"/>
      <name val="Calibri"/>
      <family val="2"/>
      <scheme val="minor"/>
    </font>
    <font>
      <b/>
      <sz val="10"/>
      <color theme="1"/>
      <name val="Calibri"/>
      <family val="2"/>
      <scheme val="minor"/>
    </font>
    <font>
      <b/>
      <sz val="14"/>
      <color theme="0"/>
      <name val="Calibri"/>
      <family val="2"/>
      <scheme val="minor"/>
    </font>
    <font>
      <sz val="11"/>
      <color theme="1"/>
      <name val="Calibri"/>
      <family val="2"/>
      <scheme val="minor"/>
    </font>
    <font>
      <b/>
      <u/>
      <sz val="11"/>
      <color theme="1"/>
      <name val="Calibri"/>
      <family val="2"/>
      <scheme val="minor"/>
    </font>
    <font>
      <u/>
      <sz val="11"/>
      <color theme="10"/>
      <name val="Calibri"/>
      <family val="2"/>
      <scheme val="minor"/>
    </font>
    <font>
      <u/>
      <sz val="12"/>
      <color theme="10"/>
      <name val="Calibri"/>
      <family val="2"/>
      <scheme val="minor"/>
    </font>
  </fonts>
  <fills count="11">
    <fill>
      <patternFill patternType="none"/>
    </fill>
    <fill>
      <patternFill patternType="gray125"/>
    </fill>
    <fill>
      <patternFill patternType="solid">
        <fgColor rgb="FF40B879"/>
        <bgColor indexed="64"/>
      </patternFill>
    </fill>
    <fill>
      <patternFill patternType="solid">
        <fgColor theme="2"/>
        <bgColor indexed="64"/>
      </patternFill>
    </fill>
    <fill>
      <patternFill patternType="solid">
        <fgColor theme="7" tint="0.79998168889431442"/>
        <bgColor indexed="64"/>
      </patternFill>
    </fill>
    <fill>
      <patternFill patternType="solid">
        <fgColor theme="0" tint="-4.9989318521683403E-2"/>
        <bgColor indexed="64"/>
      </patternFill>
    </fill>
    <fill>
      <patternFill patternType="solid">
        <fgColor theme="0"/>
        <bgColor indexed="64"/>
      </patternFill>
    </fill>
    <fill>
      <patternFill patternType="solid">
        <fgColor theme="2" tint="-9.9978637043366805E-2"/>
        <bgColor indexed="64"/>
      </patternFill>
    </fill>
    <fill>
      <patternFill patternType="solid">
        <fgColor theme="0" tint="-0.14999847407452621"/>
        <bgColor indexed="64"/>
      </patternFill>
    </fill>
    <fill>
      <patternFill patternType="solid">
        <fgColor theme="1" tint="0.34998626667073579"/>
        <bgColor indexed="64"/>
      </patternFill>
    </fill>
    <fill>
      <patternFill patternType="solid">
        <fgColor theme="0" tint="-0.34998626667073579"/>
        <bgColor indexed="64"/>
      </patternFill>
    </fill>
  </fills>
  <borders count="31">
    <border>
      <left/>
      <right/>
      <top/>
      <bottom/>
      <diagonal/>
    </border>
    <border>
      <left/>
      <right style="dashed">
        <color indexed="64"/>
      </right>
      <top/>
      <bottom/>
      <diagonal/>
    </border>
    <border>
      <left style="dashed">
        <color indexed="64"/>
      </left>
      <right/>
      <top/>
      <bottom style="dashed">
        <color indexed="64"/>
      </bottom>
      <diagonal/>
    </border>
    <border>
      <left/>
      <right/>
      <top/>
      <bottom style="dashed">
        <color indexed="64"/>
      </bottom>
      <diagonal/>
    </border>
    <border>
      <left/>
      <right style="dashed">
        <color indexed="64"/>
      </right>
      <top/>
      <bottom style="dashed">
        <color indexed="64"/>
      </bottom>
      <diagonal/>
    </border>
    <border>
      <left style="dashed">
        <color indexed="64"/>
      </left>
      <right style="dashed">
        <color indexed="64"/>
      </right>
      <top style="dashed">
        <color indexed="64"/>
      </top>
      <bottom style="dashed">
        <color indexed="64"/>
      </bottom>
      <diagonal/>
    </border>
    <border>
      <left/>
      <right style="dashed">
        <color indexed="64"/>
      </right>
      <top style="dashed">
        <color indexed="64"/>
      </top>
      <bottom style="dashed">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dashed">
        <color indexed="64"/>
      </left>
      <right/>
      <top style="dashed">
        <color indexed="64"/>
      </top>
      <bottom/>
      <diagonal/>
    </border>
    <border>
      <left/>
      <right/>
      <top style="dashed">
        <color indexed="64"/>
      </top>
      <bottom/>
      <diagonal/>
    </border>
    <border>
      <left/>
      <right style="dashed">
        <color indexed="64"/>
      </right>
      <top style="dashed">
        <color indexed="64"/>
      </top>
      <bottom/>
      <diagonal/>
    </border>
    <border>
      <left style="dashed">
        <color indexed="64"/>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dashed">
        <color indexed="64"/>
      </right>
      <top style="medium">
        <color indexed="64"/>
      </top>
      <bottom style="dashed">
        <color indexed="64"/>
      </bottom>
      <diagonal/>
    </border>
    <border>
      <left style="medium">
        <color indexed="64"/>
      </left>
      <right style="dashed">
        <color indexed="64"/>
      </right>
      <top style="dashed">
        <color indexed="64"/>
      </top>
      <bottom style="dashed">
        <color indexed="64"/>
      </bottom>
      <diagonal/>
    </border>
    <border>
      <left style="medium">
        <color indexed="64"/>
      </left>
      <right style="dashed">
        <color indexed="64"/>
      </right>
      <top style="dashed">
        <color indexed="64"/>
      </top>
      <bottom style="medium">
        <color indexed="64"/>
      </bottom>
      <diagonal/>
    </border>
  </borders>
  <cellStyleXfs count="5">
    <xf numFmtId="0" fontId="0" fillId="0" borderId="0"/>
    <xf numFmtId="9" fontId="1" fillId="0" borderId="0" applyFont="0" applyFill="0" applyBorder="0" applyAlignment="0" applyProtection="0"/>
    <xf numFmtId="0" fontId="14" fillId="0" borderId="0"/>
    <xf numFmtId="0" fontId="16" fillId="0" borderId="0" applyNumberFormat="0" applyFill="0" applyBorder="0" applyAlignment="0" applyProtection="0"/>
    <xf numFmtId="0" fontId="17" fillId="0" borderId="0" applyNumberFormat="0" applyFill="0" applyBorder="0" applyAlignment="0" applyProtection="0"/>
  </cellStyleXfs>
  <cellXfs count="132">
    <xf numFmtId="0" fontId="0" fillId="0" borderId="0" xfId="0"/>
    <xf numFmtId="14" fontId="0" fillId="0" borderId="0" xfId="0" applyNumberFormat="1"/>
    <xf numFmtId="164" fontId="0" fillId="0" borderId="0" xfId="0" applyNumberFormat="1"/>
    <xf numFmtId="14" fontId="3" fillId="0" borderId="0" xfId="0" applyNumberFormat="1" applyFont="1"/>
    <xf numFmtId="0" fontId="2" fillId="3" borderId="8" xfId="0" applyFont="1" applyFill="1" applyBorder="1"/>
    <xf numFmtId="0" fontId="2" fillId="3" borderId="9" xfId="0" applyFont="1" applyFill="1" applyBorder="1"/>
    <xf numFmtId="0" fontId="2" fillId="3" borderId="10" xfId="0" applyFont="1" applyFill="1" applyBorder="1"/>
    <xf numFmtId="2" fontId="0" fillId="0" borderId="0" xfId="0" applyNumberFormat="1"/>
    <xf numFmtId="0" fontId="0" fillId="0" borderId="14" xfId="0" applyBorder="1"/>
    <xf numFmtId="2" fontId="0" fillId="0" borderId="14" xfId="0" applyNumberFormat="1" applyBorder="1"/>
    <xf numFmtId="0" fontId="6" fillId="2" borderId="8" xfId="0" applyFont="1" applyFill="1" applyBorder="1" applyAlignment="1">
      <alignment wrapText="1"/>
    </xf>
    <xf numFmtId="0" fontId="9" fillId="0" borderId="0" xfId="0" applyFont="1"/>
    <xf numFmtId="164" fontId="0" fillId="5" borderId="16" xfId="0" applyNumberFormat="1" applyFill="1" applyBorder="1"/>
    <xf numFmtId="164" fontId="0" fillId="5" borderId="17" xfId="0" applyNumberFormat="1" applyFill="1" applyBorder="1"/>
    <xf numFmtId="164" fontId="0" fillId="5" borderId="18" xfId="0" applyNumberFormat="1" applyFill="1" applyBorder="1"/>
    <xf numFmtId="164" fontId="0" fillId="5" borderId="19" xfId="0" applyNumberFormat="1" applyFill="1" applyBorder="1"/>
    <xf numFmtId="164" fontId="0" fillId="5" borderId="0" xfId="0" applyNumberFormat="1" applyFill="1"/>
    <xf numFmtId="164" fontId="0" fillId="5" borderId="1" xfId="0" applyNumberFormat="1" applyFill="1" applyBorder="1"/>
    <xf numFmtId="164" fontId="0" fillId="5" borderId="2" xfId="0" applyNumberFormat="1" applyFill="1" applyBorder="1"/>
    <xf numFmtId="164" fontId="0" fillId="5" borderId="3" xfId="0" applyNumberFormat="1" applyFill="1" applyBorder="1"/>
    <xf numFmtId="164" fontId="0" fillId="5" borderId="4" xfId="0" applyNumberFormat="1" applyFill="1" applyBorder="1"/>
    <xf numFmtId="0" fontId="0" fillId="3" borderId="6" xfId="0" applyFill="1" applyBorder="1" applyAlignment="1">
      <alignment wrapText="1"/>
    </xf>
    <xf numFmtId="0" fontId="0" fillId="3" borderId="5" xfId="0" applyFill="1" applyBorder="1"/>
    <xf numFmtId="0" fontId="0" fillId="3" borderId="5" xfId="0" applyFill="1" applyBorder="1" applyAlignment="1">
      <alignment wrapText="1"/>
    </xf>
    <xf numFmtId="0" fontId="8" fillId="4" borderId="10" xfId="0" applyFont="1" applyFill="1" applyBorder="1"/>
    <xf numFmtId="164" fontId="8" fillId="3" borderId="0" xfId="0" applyNumberFormat="1" applyFont="1" applyFill="1"/>
    <xf numFmtId="0" fontId="2" fillId="0" borderId="20" xfId="0" applyFont="1" applyBorder="1"/>
    <xf numFmtId="0" fontId="2" fillId="0" borderId="11" xfId="0" applyFont="1" applyBorder="1"/>
    <xf numFmtId="0" fontId="2" fillId="0" borderId="11" xfId="0" applyFont="1" applyBorder="1" applyAlignment="1">
      <alignment wrapText="1"/>
    </xf>
    <xf numFmtId="0" fontId="2" fillId="0" borderId="13" xfId="0" applyFont="1" applyBorder="1" applyAlignment="1">
      <alignment wrapText="1"/>
    </xf>
    <xf numFmtId="0" fontId="0" fillId="4" borderId="22" xfId="0" applyFill="1" applyBorder="1" applyAlignment="1">
      <alignment horizontal="center"/>
    </xf>
    <xf numFmtId="0" fontId="0" fillId="4" borderId="23" xfId="0" applyFill="1" applyBorder="1" applyAlignment="1">
      <alignment horizontal="center"/>
    </xf>
    <xf numFmtId="164" fontId="0" fillId="4" borderId="23" xfId="0" applyNumberFormat="1" applyFill="1" applyBorder="1"/>
    <xf numFmtId="14" fontId="0" fillId="4" borderId="23" xfId="0" applyNumberFormat="1" applyFill="1" applyBorder="1"/>
    <xf numFmtId="14" fontId="0" fillId="4" borderId="24" xfId="0" applyNumberFormat="1" applyFill="1" applyBorder="1"/>
    <xf numFmtId="0" fontId="8" fillId="4" borderId="7" xfId="0" applyFont="1" applyFill="1" applyBorder="1"/>
    <xf numFmtId="164" fontId="8" fillId="3" borderId="7" xfId="0" applyNumberFormat="1" applyFont="1" applyFill="1" applyBorder="1"/>
    <xf numFmtId="164" fontId="0" fillId="0" borderId="14" xfId="0" applyNumberFormat="1" applyBorder="1"/>
    <xf numFmtId="0" fontId="0" fillId="6" borderId="0" xfId="0" applyFill="1"/>
    <xf numFmtId="0" fontId="3" fillId="6" borderId="0" xfId="0" applyFont="1" applyFill="1"/>
    <xf numFmtId="0" fontId="2" fillId="6" borderId="0" xfId="0" applyFont="1" applyFill="1"/>
    <xf numFmtId="14" fontId="0" fillId="6" borderId="0" xfId="0" applyNumberFormat="1" applyFill="1"/>
    <xf numFmtId="0" fontId="0" fillId="6" borderId="25" xfId="0" applyFill="1" applyBorder="1"/>
    <xf numFmtId="0" fontId="0" fillId="6" borderId="21" xfId="0" applyFill="1" applyBorder="1"/>
    <xf numFmtId="0" fontId="0" fillId="6" borderId="11" xfId="0" applyFill="1" applyBorder="1"/>
    <xf numFmtId="0" fontId="0" fillId="6" borderId="12" xfId="0" applyFill="1" applyBorder="1"/>
    <xf numFmtId="0" fontId="0" fillId="6" borderId="13" xfId="0" applyFill="1" applyBorder="1"/>
    <xf numFmtId="0" fontId="0" fillId="6" borderId="14" xfId="0" applyFill="1" applyBorder="1"/>
    <xf numFmtId="0" fontId="11" fillId="6" borderId="11" xfId="0" applyFont="1" applyFill="1" applyBorder="1"/>
    <xf numFmtId="0" fontId="7" fillId="2" borderId="11" xfId="0" applyFont="1" applyFill="1" applyBorder="1"/>
    <xf numFmtId="0" fontId="3" fillId="2" borderId="0" xfId="0" applyFont="1" applyFill="1"/>
    <xf numFmtId="0" fontId="5" fillId="2" borderId="11" xfId="0" applyFont="1" applyFill="1" applyBorder="1"/>
    <xf numFmtId="14" fontId="3" fillId="2" borderId="12" xfId="0" applyNumberFormat="1" applyFont="1" applyFill="1" applyBorder="1"/>
    <xf numFmtId="165" fontId="3" fillId="2" borderId="12" xfId="1" applyNumberFormat="1" applyFont="1" applyFill="1" applyBorder="1"/>
    <xf numFmtId="0" fontId="2" fillId="4" borderId="20" xfId="0" applyFont="1" applyFill="1" applyBorder="1"/>
    <xf numFmtId="0" fontId="0" fillId="7" borderId="20" xfId="0" applyFill="1" applyBorder="1"/>
    <xf numFmtId="0" fontId="0" fillId="7" borderId="25" xfId="0" applyFill="1" applyBorder="1"/>
    <xf numFmtId="165" fontId="0" fillId="7" borderId="25" xfId="1" applyNumberFormat="1" applyFont="1" applyFill="1" applyBorder="1"/>
    <xf numFmtId="0" fontId="0" fillId="7" borderId="11" xfId="0" applyFill="1" applyBorder="1"/>
    <xf numFmtId="0" fontId="0" fillId="7" borderId="0" xfId="0" applyFill="1"/>
    <xf numFmtId="165" fontId="0" fillId="7" borderId="0" xfId="1" applyNumberFormat="1" applyFont="1" applyFill="1" applyBorder="1"/>
    <xf numFmtId="0" fontId="0" fillId="7" borderId="13" xfId="0" applyFill="1" applyBorder="1"/>
    <xf numFmtId="0" fontId="0" fillId="7" borderId="14" xfId="0" applyFill="1" applyBorder="1"/>
    <xf numFmtId="165" fontId="0" fillId="7" borderId="14" xfId="1" applyNumberFormat="1" applyFont="1" applyFill="1" applyBorder="1"/>
    <xf numFmtId="0" fontId="0" fillId="8" borderId="25" xfId="0" applyFill="1" applyBorder="1"/>
    <xf numFmtId="0" fontId="0" fillId="8" borderId="21" xfId="0" applyFill="1" applyBorder="1"/>
    <xf numFmtId="0" fontId="0" fillId="8" borderId="0" xfId="0" applyFill="1"/>
    <xf numFmtId="0" fontId="0" fillId="8" borderId="12" xfId="0" applyFill="1" applyBorder="1"/>
    <xf numFmtId="0" fontId="0" fillId="8" borderId="14" xfId="0" applyFill="1" applyBorder="1"/>
    <xf numFmtId="0" fontId="0" fillId="8" borderId="15" xfId="0" applyFill="1" applyBorder="1"/>
    <xf numFmtId="2" fontId="0" fillId="8" borderId="25" xfId="0" applyNumberFormat="1" applyFill="1" applyBorder="1"/>
    <xf numFmtId="2" fontId="0" fillId="8" borderId="0" xfId="0" applyNumberFormat="1" applyFill="1"/>
    <xf numFmtId="2" fontId="0" fillId="8" borderId="14" xfId="0" applyNumberFormat="1" applyFill="1" applyBorder="1"/>
    <xf numFmtId="0" fontId="2" fillId="3" borderId="20" xfId="0" applyFont="1" applyFill="1" applyBorder="1"/>
    <xf numFmtId="0" fontId="2" fillId="3" borderId="25" xfId="0" applyFont="1" applyFill="1" applyBorder="1"/>
    <xf numFmtId="0" fontId="2" fillId="3" borderId="21" xfId="0" applyFont="1" applyFill="1" applyBorder="1"/>
    <xf numFmtId="164" fontId="0" fillId="0" borderId="13" xfId="0" applyNumberFormat="1" applyBorder="1"/>
    <xf numFmtId="1" fontId="0" fillId="0" borderId="15" xfId="0" applyNumberFormat="1" applyBorder="1"/>
    <xf numFmtId="0" fontId="2" fillId="6" borderId="25" xfId="0" applyFont="1" applyFill="1" applyBorder="1"/>
    <xf numFmtId="0" fontId="3" fillId="6" borderId="14" xfId="0" applyFont="1" applyFill="1" applyBorder="1"/>
    <xf numFmtId="14" fontId="2" fillId="3" borderId="25" xfId="0" applyNumberFormat="1" applyFont="1" applyFill="1" applyBorder="1"/>
    <xf numFmtId="2" fontId="0" fillId="8" borderId="20" xfId="0" applyNumberFormat="1" applyFill="1" applyBorder="1"/>
    <xf numFmtId="2" fontId="0" fillId="8" borderId="11" xfId="0" applyNumberFormat="1" applyFill="1" applyBorder="1"/>
    <xf numFmtId="2" fontId="0" fillId="8" borderId="13" xfId="0" applyNumberFormat="1" applyFill="1" applyBorder="1"/>
    <xf numFmtId="0" fontId="12" fillId="3" borderId="8" xfId="0" applyFont="1" applyFill="1" applyBorder="1"/>
    <xf numFmtId="0" fontId="12" fillId="3" borderId="9" xfId="0" applyFont="1" applyFill="1" applyBorder="1"/>
    <xf numFmtId="0" fontId="12" fillId="3" borderId="10" xfId="0" applyFont="1" applyFill="1" applyBorder="1"/>
    <xf numFmtId="165" fontId="0" fillId="7" borderId="21" xfId="1" applyNumberFormat="1" applyFont="1" applyFill="1" applyBorder="1"/>
    <xf numFmtId="165" fontId="0" fillId="7" borderId="12" xfId="1" applyNumberFormat="1" applyFont="1" applyFill="1" applyBorder="1"/>
    <xf numFmtId="165" fontId="0" fillId="7" borderId="15" xfId="1" applyNumberFormat="1" applyFont="1" applyFill="1" applyBorder="1"/>
    <xf numFmtId="0" fontId="2" fillId="3" borderId="5" xfId="0" applyFont="1" applyFill="1" applyBorder="1" applyAlignment="1">
      <alignment wrapText="1"/>
    </xf>
    <xf numFmtId="0" fontId="13" fillId="2" borderId="7" xfId="0" applyFont="1" applyFill="1" applyBorder="1" applyAlignment="1">
      <alignment wrapText="1"/>
    </xf>
    <xf numFmtId="0" fontId="0" fillId="3" borderId="28" xfId="0" applyFill="1" applyBorder="1" applyAlignment="1">
      <alignment wrapText="1"/>
    </xf>
    <xf numFmtId="164" fontId="0" fillId="5" borderId="21" xfId="0" applyNumberFormat="1" applyFill="1" applyBorder="1"/>
    <xf numFmtId="0" fontId="0" fillId="3" borderId="29" xfId="0" applyFill="1" applyBorder="1" applyAlignment="1">
      <alignment wrapText="1"/>
    </xf>
    <xf numFmtId="164" fontId="0" fillId="5" borderId="12" xfId="0" applyNumberFormat="1" applyFill="1" applyBorder="1"/>
    <xf numFmtId="0" fontId="0" fillId="3" borderId="30" xfId="0" applyFill="1" applyBorder="1" applyAlignment="1">
      <alignment wrapText="1"/>
    </xf>
    <xf numFmtId="164" fontId="0" fillId="5" borderId="15" xfId="0" applyNumberFormat="1" applyFill="1" applyBorder="1"/>
    <xf numFmtId="0" fontId="14" fillId="5" borderId="0" xfId="2" applyFill="1"/>
    <xf numFmtId="10" fontId="14" fillId="5" borderId="0" xfId="2" applyNumberFormat="1" applyFill="1"/>
    <xf numFmtId="3" fontId="14" fillId="5" borderId="0" xfId="2" applyNumberFormat="1" applyFill="1"/>
    <xf numFmtId="0" fontId="14" fillId="10" borderId="0" xfId="2" applyFill="1"/>
    <xf numFmtId="10" fontId="14" fillId="10" borderId="0" xfId="2" applyNumberFormat="1" applyFill="1"/>
    <xf numFmtId="3" fontId="14" fillId="10" borderId="0" xfId="2" applyNumberFormat="1" applyFill="1"/>
    <xf numFmtId="0" fontId="15" fillId="10" borderId="0" xfId="2" applyFont="1" applyFill="1"/>
    <xf numFmtId="0" fontId="16" fillId="10" borderId="0" xfId="3" applyFill="1"/>
    <xf numFmtId="10" fontId="16" fillId="10" borderId="0" xfId="3" applyNumberFormat="1" applyFill="1"/>
    <xf numFmtId="0" fontId="14" fillId="5" borderId="0" xfId="2" applyFill="1" applyAlignment="1">
      <alignment horizontal="left" vertical="center" wrapText="1"/>
    </xf>
    <xf numFmtId="0" fontId="14" fillId="5" borderId="0" xfId="2" applyFill="1" applyAlignment="1">
      <alignment vertical="center" wrapText="1"/>
    </xf>
    <xf numFmtId="0" fontId="14" fillId="5" borderId="0" xfId="2" applyFill="1" applyAlignment="1">
      <alignment horizontal="left" vertical="center" wrapText="1"/>
    </xf>
    <xf numFmtId="0" fontId="6" fillId="9" borderId="0" xfId="2" applyFont="1" applyFill="1" applyAlignment="1">
      <alignment horizontal="center" vertical="center"/>
    </xf>
    <xf numFmtId="0" fontId="13" fillId="9" borderId="0" xfId="2" applyFont="1" applyFill="1" applyAlignment="1">
      <alignment horizontal="center"/>
    </xf>
    <xf numFmtId="0" fontId="6" fillId="2" borderId="8" xfId="0" applyFont="1" applyFill="1" applyBorder="1" applyAlignment="1">
      <alignment horizontal="center" wrapText="1"/>
    </xf>
    <xf numFmtId="0" fontId="6" fillId="2" borderId="10" xfId="0" applyFont="1" applyFill="1" applyBorder="1" applyAlignment="1">
      <alignment horizontal="center" wrapText="1"/>
    </xf>
    <xf numFmtId="0" fontId="6" fillId="2" borderId="0" xfId="0" applyFont="1" applyFill="1" applyAlignment="1">
      <alignment horizontal="center" wrapText="1"/>
    </xf>
    <xf numFmtId="0" fontId="2" fillId="3" borderId="22" xfId="0" applyFont="1" applyFill="1" applyBorder="1" applyAlignment="1">
      <alignment horizontal="center" vertical="center" textRotation="90" wrapText="1"/>
    </xf>
    <xf numFmtId="0" fontId="2" fillId="3" borderId="23" xfId="0" applyFont="1" applyFill="1" applyBorder="1" applyAlignment="1">
      <alignment horizontal="center" vertical="center" textRotation="90"/>
    </xf>
    <xf numFmtId="0" fontId="2" fillId="3" borderId="24" xfId="0" applyFont="1" applyFill="1" applyBorder="1" applyAlignment="1">
      <alignment horizontal="center" vertical="center" textRotation="90"/>
    </xf>
    <xf numFmtId="0" fontId="10" fillId="2" borderId="8" xfId="0" applyFont="1" applyFill="1" applyBorder="1" applyAlignment="1">
      <alignment horizontal="center"/>
    </xf>
    <xf numFmtId="0" fontId="10" fillId="2" borderId="9" xfId="0" applyFont="1" applyFill="1" applyBorder="1" applyAlignment="1">
      <alignment horizontal="center"/>
    </xf>
    <xf numFmtId="0" fontId="10" fillId="2" borderId="10" xfId="0" applyFont="1" applyFill="1" applyBorder="1" applyAlignment="1">
      <alignment horizontal="center"/>
    </xf>
    <xf numFmtId="0" fontId="6" fillId="2" borderId="26" xfId="0" applyFont="1" applyFill="1" applyBorder="1" applyAlignment="1">
      <alignment horizontal="left"/>
    </xf>
    <xf numFmtId="0" fontId="6" fillId="2" borderId="27" xfId="0" applyFont="1" applyFill="1" applyBorder="1" applyAlignment="1">
      <alignment horizontal="left"/>
    </xf>
    <xf numFmtId="0" fontId="6" fillId="2" borderId="25" xfId="0" applyFont="1" applyFill="1" applyBorder="1" applyAlignment="1">
      <alignment horizontal="left"/>
    </xf>
    <xf numFmtId="0" fontId="6" fillId="2" borderId="21" xfId="0" applyFont="1" applyFill="1" applyBorder="1" applyAlignment="1">
      <alignment horizontal="left"/>
    </xf>
    <xf numFmtId="0" fontId="2" fillId="4" borderId="25" xfId="0" applyFont="1" applyFill="1" applyBorder="1" applyAlignment="1">
      <alignment horizontal="center"/>
    </xf>
    <xf numFmtId="0" fontId="2" fillId="4" borderId="21" xfId="0" applyFont="1" applyFill="1" applyBorder="1" applyAlignment="1">
      <alignment horizontal="center"/>
    </xf>
    <xf numFmtId="0" fontId="6" fillId="2" borderId="20" xfId="0" applyFont="1" applyFill="1" applyBorder="1" applyAlignment="1">
      <alignment horizontal="left"/>
    </xf>
    <xf numFmtId="0" fontId="6" fillId="2" borderId="20" xfId="0" applyFont="1" applyFill="1" applyBorder="1" applyAlignment="1">
      <alignment horizontal="center" wrapText="1"/>
    </xf>
    <xf numFmtId="0" fontId="6" fillId="2" borderId="25" xfId="0" applyFont="1" applyFill="1" applyBorder="1" applyAlignment="1">
      <alignment horizontal="center" wrapText="1"/>
    </xf>
    <xf numFmtId="0" fontId="6" fillId="2" borderId="21" xfId="0" applyFont="1" applyFill="1" applyBorder="1" applyAlignment="1">
      <alignment horizontal="center" wrapText="1"/>
    </xf>
    <xf numFmtId="0" fontId="17" fillId="10" borderId="0" xfId="4" applyFill="1"/>
  </cellXfs>
  <cellStyles count="5">
    <cellStyle name="Hyperlink" xfId="4" builtinId="8"/>
    <cellStyle name="Hyperlink 2" xfId="3" xr:uid="{7609A4DE-8C3D-014D-8E9B-E73EAB6B0BE9}"/>
    <cellStyle name="Normal" xfId="0" builtinId="0"/>
    <cellStyle name="Normal 2" xfId="2" xr:uid="{C8607944-B302-F94D-BE25-F67D87B33DE7}"/>
    <cellStyle name="Percent" xfId="1" builtinId="5"/>
  </cellStyles>
  <dxfs count="0"/>
  <tableStyles count="0" defaultTableStyle="TableStyleMedium2" defaultPivotStyle="PivotStyleLight16"/>
  <colors>
    <mruColors>
      <color rgb="FFF2F2F2"/>
      <color rgb="FF40B87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chartsheet" Target="chartsheets/sheet1.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2800" b="0" i="0" u="none" strike="noStrike" kern="1200" spc="0" baseline="0">
                <a:solidFill>
                  <a:schemeClr val="bg1"/>
                </a:solidFill>
                <a:latin typeface="+mn-lt"/>
                <a:ea typeface="+mn-ea"/>
                <a:cs typeface="+mn-cs"/>
              </a:defRPr>
            </a:pPr>
            <a:r>
              <a:rPr lang="en-US" sz="2800">
                <a:solidFill>
                  <a:schemeClr val="bg1"/>
                </a:solidFill>
              </a:rPr>
              <a:t>Rolled Strategy P&amp;L</a:t>
            </a:r>
          </a:p>
        </c:rich>
      </c:tx>
      <c:overlay val="0"/>
      <c:spPr>
        <a:noFill/>
        <a:ln>
          <a:noFill/>
        </a:ln>
        <a:effectLst/>
      </c:spPr>
      <c:txPr>
        <a:bodyPr rot="0" spcFirstLastPara="1" vertOverflow="ellipsis" vert="horz" wrap="square" anchor="ctr" anchorCtr="1"/>
        <a:lstStyle/>
        <a:p>
          <a:pPr>
            <a:defRPr sz="2800" b="0" i="0" u="none" strike="noStrike" kern="1200" spc="0" baseline="0">
              <a:solidFill>
                <a:schemeClr val="bg1"/>
              </a:solidFill>
              <a:latin typeface="+mn-lt"/>
              <a:ea typeface="+mn-ea"/>
              <a:cs typeface="+mn-cs"/>
            </a:defRPr>
          </a:pPr>
          <a:endParaRPr lang="en-IT"/>
        </a:p>
      </c:txPr>
    </c:title>
    <c:autoTitleDeleted val="0"/>
    <c:plotArea>
      <c:layout/>
      <c:lineChart>
        <c:grouping val="standard"/>
        <c:varyColors val="0"/>
        <c:ser>
          <c:idx val="0"/>
          <c:order val="0"/>
          <c:tx>
            <c:strRef>
              <c:f>'1-leg trade'!$E$96</c:f>
              <c:strCache>
                <c:ptCount val="1"/>
                <c:pt idx="0">
                  <c:v>Old position P&amp;L at
expiration</c:v>
                </c:pt>
              </c:strCache>
            </c:strRef>
          </c:tx>
          <c:spPr>
            <a:ln w="28575" cap="rnd">
              <a:solidFill>
                <a:schemeClr val="accent4">
                  <a:lumMod val="40000"/>
                  <a:lumOff val="60000"/>
                </a:schemeClr>
              </a:solidFill>
              <a:prstDash val="sysDot"/>
              <a:round/>
            </a:ln>
            <a:effectLst/>
          </c:spPr>
          <c:marker>
            <c:symbol val="none"/>
          </c:marker>
          <c:cat>
            <c:numRef>
              <c:f>'1-leg trade'!$D$97:$D$157</c:f>
              <c:numCache>
                <c:formatCode>_-[$$-409]* #,##0.00_ ;_-[$$-409]* \-#,##0.00\ ;_-[$$-409]* "-"??_ ;_-@_ </c:formatCode>
                <c:ptCount val="61"/>
                <c:pt idx="0">
                  <c:v>163.84899999999999</c:v>
                </c:pt>
                <c:pt idx="1">
                  <c:v>166.18969999999999</c:v>
                </c:pt>
                <c:pt idx="2">
                  <c:v>168.53039999999999</c:v>
                </c:pt>
                <c:pt idx="3">
                  <c:v>170.87109999999998</c:v>
                </c:pt>
                <c:pt idx="4">
                  <c:v>173.21179999999998</c:v>
                </c:pt>
                <c:pt idx="5">
                  <c:v>175.55250000000001</c:v>
                </c:pt>
                <c:pt idx="6">
                  <c:v>177.89320000000001</c:v>
                </c:pt>
                <c:pt idx="7">
                  <c:v>180.23390000000001</c:v>
                </c:pt>
                <c:pt idx="8">
                  <c:v>182.5746</c:v>
                </c:pt>
                <c:pt idx="9">
                  <c:v>184.9153</c:v>
                </c:pt>
                <c:pt idx="10">
                  <c:v>187.256</c:v>
                </c:pt>
                <c:pt idx="11">
                  <c:v>189.5967</c:v>
                </c:pt>
                <c:pt idx="12">
                  <c:v>191.9374</c:v>
                </c:pt>
                <c:pt idx="13">
                  <c:v>194.27809999999999</c:v>
                </c:pt>
                <c:pt idx="14">
                  <c:v>196.61879999999999</c:v>
                </c:pt>
                <c:pt idx="15">
                  <c:v>198.95949999999999</c:v>
                </c:pt>
                <c:pt idx="16">
                  <c:v>201.30019999999999</c:v>
                </c:pt>
                <c:pt idx="17">
                  <c:v>203.64089999999999</c:v>
                </c:pt>
                <c:pt idx="18">
                  <c:v>205.98159999999999</c:v>
                </c:pt>
                <c:pt idx="19">
                  <c:v>208.32229999999998</c:v>
                </c:pt>
                <c:pt idx="20">
                  <c:v>210.66300000000001</c:v>
                </c:pt>
                <c:pt idx="21">
                  <c:v>213.00370000000001</c:v>
                </c:pt>
                <c:pt idx="22">
                  <c:v>215.34440000000001</c:v>
                </c:pt>
                <c:pt idx="23">
                  <c:v>217.68510000000001</c:v>
                </c:pt>
                <c:pt idx="24">
                  <c:v>220.02579999999998</c:v>
                </c:pt>
                <c:pt idx="25">
                  <c:v>222.36649999999997</c:v>
                </c:pt>
                <c:pt idx="26">
                  <c:v>224.70719999999997</c:v>
                </c:pt>
                <c:pt idx="27">
                  <c:v>227.0479</c:v>
                </c:pt>
                <c:pt idx="28">
                  <c:v>229.3886</c:v>
                </c:pt>
                <c:pt idx="29">
                  <c:v>231.72929999999999</c:v>
                </c:pt>
                <c:pt idx="30">
                  <c:v>234.07</c:v>
                </c:pt>
                <c:pt idx="31">
                  <c:v>236.41069999999999</c:v>
                </c:pt>
                <c:pt idx="32">
                  <c:v>238.75139999999999</c:v>
                </c:pt>
                <c:pt idx="33">
                  <c:v>241.09209999999999</c:v>
                </c:pt>
                <c:pt idx="34">
                  <c:v>243.43280000000001</c:v>
                </c:pt>
                <c:pt idx="35">
                  <c:v>245.77350000000001</c:v>
                </c:pt>
                <c:pt idx="36">
                  <c:v>248.11420000000001</c:v>
                </c:pt>
                <c:pt idx="37">
                  <c:v>250.45490000000001</c:v>
                </c:pt>
                <c:pt idx="38">
                  <c:v>252.79560000000001</c:v>
                </c:pt>
                <c:pt idx="39">
                  <c:v>255.13630000000001</c:v>
                </c:pt>
                <c:pt idx="40">
                  <c:v>257.47700000000003</c:v>
                </c:pt>
                <c:pt idx="41">
                  <c:v>259.8177</c:v>
                </c:pt>
                <c:pt idx="42">
                  <c:v>262.15840000000003</c:v>
                </c:pt>
                <c:pt idx="43">
                  <c:v>264.49909999999994</c:v>
                </c:pt>
                <c:pt idx="44">
                  <c:v>266.83979999999997</c:v>
                </c:pt>
                <c:pt idx="45">
                  <c:v>269.18049999999999</c:v>
                </c:pt>
                <c:pt idx="46">
                  <c:v>271.52119999999996</c:v>
                </c:pt>
                <c:pt idx="47">
                  <c:v>273.86189999999999</c:v>
                </c:pt>
                <c:pt idx="48">
                  <c:v>276.20259999999996</c:v>
                </c:pt>
                <c:pt idx="49">
                  <c:v>278.54329999999999</c:v>
                </c:pt>
                <c:pt idx="50">
                  <c:v>280.88399999999996</c:v>
                </c:pt>
                <c:pt idx="51">
                  <c:v>283.22469999999998</c:v>
                </c:pt>
                <c:pt idx="52">
                  <c:v>285.56540000000001</c:v>
                </c:pt>
                <c:pt idx="53">
                  <c:v>287.90609999999998</c:v>
                </c:pt>
                <c:pt idx="54">
                  <c:v>290.24680000000001</c:v>
                </c:pt>
                <c:pt idx="55">
                  <c:v>292.58749999999998</c:v>
                </c:pt>
                <c:pt idx="56">
                  <c:v>294.9282</c:v>
                </c:pt>
                <c:pt idx="57">
                  <c:v>297.26889999999997</c:v>
                </c:pt>
                <c:pt idx="58">
                  <c:v>299.6096</c:v>
                </c:pt>
                <c:pt idx="59">
                  <c:v>301.95030000000003</c:v>
                </c:pt>
                <c:pt idx="60">
                  <c:v>304.291</c:v>
                </c:pt>
              </c:numCache>
            </c:numRef>
          </c:cat>
          <c:val>
            <c:numRef>
              <c:f>'1-leg trade'!$E$97:$E$157</c:f>
              <c:numCache>
                <c:formatCode>_-[$$-409]* #,##0.00_ ;_-[$$-409]* \-#,##0.00\ ;_-[$$-409]* "-"??_ ;_-@_ </c:formatCode>
                <c:ptCount val="61"/>
                <c:pt idx="0">
                  <c:v>5305.1000000000013</c:v>
                </c:pt>
                <c:pt idx="1">
                  <c:v>5071.0300000000007</c:v>
                </c:pt>
                <c:pt idx="2">
                  <c:v>4836.9600000000009</c:v>
                </c:pt>
                <c:pt idx="3">
                  <c:v>4602.8900000000012</c:v>
                </c:pt>
                <c:pt idx="4">
                  <c:v>4368.8200000000015</c:v>
                </c:pt>
                <c:pt idx="5">
                  <c:v>4134.7499999999991</c:v>
                </c:pt>
                <c:pt idx="6">
                  <c:v>3900.6799999999989</c:v>
                </c:pt>
                <c:pt idx="7">
                  <c:v>3666.6099999999992</c:v>
                </c:pt>
                <c:pt idx="8">
                  <c:v>3432.5399999999995</c:v>
                </c:pt>
                <c:pt idx="9">
                  <c:v>3198.47</c:v>
                </c:pt>
                <c:pt idx="10">
                  <c:v>2964.3999999999996</c:v>
                </c:pt>
                <c:pt idx="11">
                  <c:v>2730.33</c:v>
                </c:pt>
                <c:pt idx="12">
                  <c:v>2496.2600000000002</c:v>
                </c:pt>
                <c:pt idx="13">
                  <c:v>2262.1900000000005</c:v>
                </c:pt>
                <c:pt idx="14">
                  <c:v>2028.1200000000006</c:v>
                </c:pt>
                <c:pt idx="15">
                  <c:v>1794.0500000000006</c:v>
                </c:pt>
                <c:pt idx="16">
                  <c:v>1559.9800000000012</c:v>
                </c:pt>
                <c:pt idx="17">
                  <c:v>1325.9100000000012</c:v>
                </c:pt>
                <c:pt idx="18">
                  <c:v>1091.8400000000015</c:v>
                </c:pt>
                <c:pt idx="19">
                  <c:v>857.77000000000157</c:v>
                </c:pt>
                <c:pt idx="20">
                  <c:v>623.69999999999891</c:v>
                </c:pt>
                <c:pt idx="21">
                  <c:v>389.62999999999909</c:v>
                </c:pt>
                <c:pt idx="22">
                  <c:v>155.55999999999926</c:v>
                </c:pt>
                <c:pt idx="23">
                  <c:v>-78.510000000000574</c:v>
                </c:pt>
                <c:pt idx="24">
                  <c:v>-310</c:v>
                </c:pt>
                <c:pt idx="25">
                  <c:v>-310</c:v>
                </c:pt>
                <c:pt idx="26">
                  <c:v>-310</c:v>
                </c:pt>
                <c:pt idx="27">
                  <c:v>-310</c:v>
                </c:pt>
                <c:pt idx="28">
                  <c:v>-310</c:v>
                </c:pt>
                <c:pt idx="29">
                  <c:v>-310</c:v>
                </c:pt>
                <c:pt idx="30">
                  <c:v>-310</c:v>
                </c:pt>
                <c:pt idx="31">
                  <c:v>-310</c:v>
                </c:pt>
                <c:pt idx="32">
                  <c:v>-310</c:v>
                </c:pt>
                <c:pt idx="33">
                  <c:v>-310</c:v>
                </c:pt>
                <c:pt idx="34">
                  <c:v>-310</c:v>
                </c:pt>
                <c:pt idx="35">
                  <c:v>-310</c:v>
                </c:pt>
                <c:pt idx="36">
                  <c:v>-310</c:v>
                </c:pt>
                <c:pt idx="37">
                  <c:v>-310</c:v>
                </c:pt>
                <c:pt idx="38">
                  <c:v>-310</c:v>
                </c:pt>
                <c:pt idx="39">
                  <c:v>-310</c:v>
                </c:pt>
                <c:pt idx="40">
                  <c:v>-310</c:v>
                </c:pt>
                <c:pt idx="41">
                  <c:v>-310</c:v>
                </c:pt>
                <c:pt idx="42">
                  <c:v>-310</c:v>
                </c:pt>
                <c:pt idx="43">
                  <c:v>-310</c:v>
                </c:pt>
                <c:pt idx="44">
                  <c:v>-310</c:v>
                </c:pt>
                <c:pt idx="45">
                  <c:v>-310</c:v>
                </c:pt>
                <c:pt idx="46">
                  <c:v>-310</c:v>
                </c:pt>
                <c:pt idx="47">
                  <c:v>-310</c:v>
                </c:pt>
                <c:pt idx="48">
                  <c:v>-310</c:v>
                </c:pt>
                <c:pt idx="49">
                  <c:v>-310</c:v>
                </c:pt>
                <c:pt idx="50">
                  <c:v>-310</c:v>
                </c:pt>
                <c:pt idx="51">
                  <c:v>-310</c:v>
                </c:pt>
                <c:pt idx="52">
                  <c:v>-310</c:v>
                </c:pt>
                <c:pt idx="53">
                  <c:v>-310</c:v>
                </c:pt>
                <c:pt idx="54">
                  <c:v>-310</c:v>
                </c:pt>
                <c:pt idx="55">
                  <c:v>-310</c:v>
                </c:pt>
                <c:pt idx="56">
                  <c:v>-310</c:v>
                </c:pt>
                <c:pt idx="57">
                  <c:v>-310</c:v>
                </c:pt>
                <c:pt idx="58">
                  <c:v>-310</c:v>
                </c:pt>
                <c:pt idx="59">
                  <c:v>-310</c:v>
                </c:pt>
                <c:pt idx="60">
                  <c:v>-310</c:v>
                </c:pt>
              </c:numCache>
            </c:numRef>
          </c:val>
          <c:smooth val="0"/>
          <c:extLst>
            <c:ext xmlns:c16="http://schemas.microsoft.com/office/drawing/2014/chart" uri="{C3380CC4-5D6E-409C-BE32-E72D297353CC}">
              <c16:uniqueId val="{00000000-A0DD-0343-878A-9AF816FFA646}"/>
            </c:ext>
          </c:extLst>
        </c:ser>
        <c:ser>
          <c:idx val="1"/>
          <c:order val="1"/>
          <c:tx>
            <c:strRef>
              <c:f>'1-leg trade'!$F$96</c:f>
              <c:strCache>
                <c:ptCount val="1"/>
                <c:pt idx="0">
                  <c:v>New position P&amp;L at
expiration</c:v>
                </c:pt>
              </c:strCache>
            </c:strRef>
          </c:tx>
          <c:spPr>
            <a:ln w="28575" cap="rnd">
              <a:solidFill>
                <a:schemeClr val="accent2"/>
              </a:solidFill>
              <a:prstDash val="sysDash"/>
              <a:round/>
            </a:ln>
            <a:effectLst/>
          </c:spPr>
          <c:marker>
            <c:symbol val="none"/>
          </c:marker>
          <c:cat>
            <c:numRef>
              <c:f>'1-leg trade'!$D$97:$D$157</c:f>
              <c:numCache>
                <c:formatCode>_-[$$-409]* #,##0.00_ ;_-[$$-409]* \-#,##0.00\ ;_-[$$-409]* "-"??_ ;_-@_ </c:formatCode>
                <c:ptCount val="61"/>
                <c:pt idx="0">
                  <c:v>163.84899999999999</c:v>
                </c:pt>
                <c:pt idx="1">
                  <c:v>166.18969999999999</c:v>
                </c:pt>
                <c:pt idx="2">
                  <c:v>168.53039999999999</c:v>
                </c:pt>
                <c:pt idx="3">
                  <c:v>170.87109999999998</c:v>
                </c:pt>
                <c:pt idx="4">
                  <c:v>173.21179999999998</c:v>
                </c:pt>
                <c:pt idx="5">
                  <c:v>175.55250000000001</c:v>
                </c:pt>
                <c:pt idx="6">
                  <c:v>177.89320000000001</c:v>
                </c:pt>
                <c:pt idx="7">
                  <c:v>180.23390000000001</c:v>
                </c:pt>
                <c:pt idx="8">
                  <c:v>182.5746</c:v>
                </c:pt>
                <c:pt idx="9">
                  <c:v>184.9153</c:v>
                </c:pt>
                <c:pt idx="10">
                  <c:v>187.256</c:v>
                </c:pt>
                <c:pt idx="11">
                  <c:v>189.5967</c:v>
                </c:pt>
                <c:pt idx="12">
                  <c:v>191.9374</c:v>
                </c:pt>
                <c:pt idx="13">
                  <c:v>194.27809999999999</c:v>
                </c:pt>
                <c:pt idx="14">
                  <c:v>196.61879999999999</c:v>
                </c:pt>
                <c:pt idx="15">
                  <c:v>198.95949999999999</c:v>
                </c:pt>
                <c:pt idx="16">
                  <c:v>201.30019999999999</c:v>
                </c:pt>
                <c:pt idx="17">
                  <c:v>203.64089999999999</c:v>
                </c:pt>
                <c:pt idx="18">
                  <c:v>205.98159999999999</c:v>
                </c:pt>
                <c:pt idx="19">
                  <c:v>208.32229999999998</c:v>
                </c:pt>
                <c:pt idx="20">
                  <c:v>210.66300000000001</c:v>
                </c:pt>
                <c:pt idx="21">
                  <c:v>213.00370000000001</c:v>
                </c:pt>
                <c:pt idx="22">
                  <c:v>215.34440000000001</c:v>
                </c:pt>
                <c:pt idx="23">
                  <c:v>217.68510000000001</c:v>
                </c:pt>
                <c:pt idx="24">
                  <c:v>220.02579999999998</c:v>
                </c:pt>
                <c:pt idx="25">
                  <c:v>222.36649999999997</c:v>
                </c:pt>
                <c:pt idx="26">
                  <c:v>224.70719999999997</c:v>
                </c:pt>
                <c:pt idx="27">
                  <c:v>227.0479</c:v>
                </c:pt>
                <c:pt idx="28">
                  <c:v>229.3886</c:v>
                </c:pt>
                <c:pt idx="29">
                  <c:v>231.72929999999999</c:v>
                </c:pt>
                <c:pt idx="30">
                  <c:v>234.07</c:v>
                </c:pt>
                <c:pt idx="31">
                  <c:v>236.41069999999999</c:v>
                </c:pt>
                <c:pt idx="32">
                  <c:v>238.75139999999999</c:v>
                </c:pt>
                <c:pt idx="33">
                  <c:v>241.09209999999999</c:v>
                </c:pt>
                <c:pt idx="34">
                  <c:v>243.43280000000001</c:v>
                </c:pt>
                <c:pt idx="35">
                  <c:v>245.77350000000001</c:v>
                </c:pt>
                <c:pt idx="36">
                  <c:v>248.11420000000001</c:v>
                </c:pt>
                <c:pt idx="37">
                  <c:v>250.45490000000001</c:v>
                </c:pt>
                <c:pt idx="38">
                  <c:v>252.79560000000001</c:v>
                </c:pt>
                <c:pt idx="39">
                  <c:v>255.13630000000001</c:v>
                </c:pt>
                <c:pt idx="40">
                  <c:v>257.47700000000003</c:v>
                </c:pt>
                <c:pt idx="41">
                  <c:v>259.8177</c:v>
                </c:pt>
                <c:pt idx="42">
                  <c:v>262.15840000000003</c:v>
                </c:pt>
                <c:pt idx="43">
                  <c:v>264.49909999999994</c:v>
                </c:pt>
                <c:pt idx="44">
                  <c:v>266.83979999999997</c:v>
                </c:pt>
                <c:pt idx="45">
                  <c:v>269.18049999999999</c:v>
                </c:pt>
                <c:pt idx="46">
                  <c:v>271.52119999999996</c:v>
                </c:pt>
                <c:pt idx="47">
                  <c:v>273.86189999999999</c:v>
                </c:pt>
                <c:pt idx="48">
                  <c:v>276.20259999999996</c:v>
                </c:pt>
                <c:pt idx="49">
                  <c:v>278.54329999999999</c:v>
                </c:pt>
                <c:pt idx="50">
                  <c:v>280.88399999999996</c:v>
                </c:pt>
                <c:pt idx="51">
                  <c:v>283.22469999999998</c:v>
                </c:pt>
                <c:pt idx="52">
                  <c:v>285.56540000000001</c:v>
                </c:pt>
                <c:pt idx="53">
                  <c:v>287.90609999999998</c:v>
                </c:pt>
                <c:pt idx="54">
                  <c:v>290.24680000000001</c:v>
                </c:pt>
                <c:pt idx="55">
                  <c:v>292.58749999999998</c:v>
                </c:pt>
                <c:pt idx="56">
                  <c:v>294.9282</c:v>
                </c:pt>
                <c:pt idx="57">
                  <c:v>297.26889999999997</c:v>
                </c:pt>
                <c:pt idx="58">
                  <c:v>299.6096</c:v>
                </c:pt>
                <c:pt idx="59">
                  <c:v>301.95030000000003</c:v>
                </c:pt>
                <c:pt idx="60">
                  <c:v>304.291</c:v>
                </c:pt>
              </c:numCache>
            </c:numRef>
          </c:cat>
          <c:val>
            <c:numRef>
              <c:f>'1-leg trade'!$F$97:$F$157</c:f>
              <c:numCache>
                <c:formatCode>_-[$$-409]* #,##0.00_ ;_-[$$-409]* \-#,##0.00\ ;_-[$$-409]* "-"??_ ;_-@_ </c:formatCode>
                <c:ptCount val="61"/>
                <c:pt idx="0">
                  <c:v>6470.1</c:v>
                </c:pt>
                <c:pt idx="1">
                  <c:v>6236.0300000000007</c:v>
                </c:pt>
                <c:pt idx="2">
                  <c:v>6001.9600000000009</c:v>
                </c:pt>
                <c:pt idx="3">
                  <c:v>5767.8900000000012</c:v>
                </c:pt>
                <c:pt idx="4">
                  <c:v>5533.8200000000015</c:v>
                </c:pt>
                <c:pt idx="5">
                  <c:v>5299.7499999999991</c:v>
                </c:pt>
                <c:pt idx="6">
                  <c:v>5065.6799999999994</c:v>
                </c:pt>
                <c:pt idx="7">
                  <c:v>4831.6099999999988</c:v>
                </c:pt>
                <c:pt idx="8">
                  <c:v>4597.5399999999991</c:v>
                </c:pt>
                <c:pt idx="9">
                  <c:v>4363.4699999999993</c:v>
                </c:pt>
                <c:pt idx="10">
                  <c:v>4129.3999999999996</c:v>
                </c:pt>
                <c:pt idx="11">
                  <c:v>3895.33</c:v>
                </c:pt>
                <c:pt idx="12">
                  <c:v>3661.26</c:v>
                </c:pt>
                <c:pt idx="13">
                  <c:v>3427.19</c:v>
                </c:pt>
                <c:pt idx="14">
                  <c:v>3193.1200000000008</c:v>
                </c:pt>
                <c:pt idx="15">
                  <c:v>2959.0500000000011</c:v>
                </c:pt>
                <c:pt idx="16">
                  <c:v>2724.9800000000009</c:v>
                </c:pt>
                <c:pt idx="17">
                  <c:v>2490.9100000000012</c:v>
                </c:pt>
                <c:pt idx="18">
                  <c:v>2256.8400000000015</c:v>
                </c:pt>
                <c:pt idx="19">
                  <c:v>2022.7700000000016</c:v>
                </c:pt>
                <c:pt idx="20">
                  <c:v>1788.6999999999989</c:v>
                </c:pt>
                <c:pt idx="21">
                  <c:v>1554.6299999999992</c:v>
                </c:pt>
                <c:pt idx="22">
                  <c:v>1320.5599999999993</c:v>
                </c:pt>
                <c:pt idx="23">
                  <c:v>1086.4899999999996</c:v>
                </c:pt>
                <c:pt idx="24">
                  <c:v>852.42000000000257</c:v>
                </c:pt>
                <c:pt idx="25">
                  <c:v>618.35000000000264</c:v>
                </c:pt>
                <c:pt idx="26">
                  <c:v>384.28000000000281</c:v>
                </c:pt>
                <c:pt idx="27">
                  <c:v>150.21000000000012</c:v>
                </c:pt>
                <c:pt idx="28">
                  <c:v>-83.859999999999687</c:v>
                </c:pt>
                <c:pt idx="29">
                  <c:v>-317.9299999999995</c:v>
                </c:pt>
                <c:pt idx="30">
                  <c:v>-551.99999999999932</c:v>
                </c:pt>
                <c:pt idx="31">
                  <c:v>-645</c:v>
                </c:pt>
                <c:pt idx="32">
                  <c:v>-645</c:v>
                </c:pt>
                <c:pt idx="33">
                  <c:v>-645</c:v>
                </c:pt>
                <c:pt idx="34">
                  <c:v>-645</c:v>
                </c:pt>
                <c:pt idx="35">
                  <c:v>-645</c:v>
                </c:pt>
                <c:pt idx="36">
                  <c:v>-645</c:v>
                </c:pt>
                <c:pt idx="37">
                  <c:v>-645</c:v>
                </c:pt>
                <c:pt idx="38">
                  <c:v>-645</c:v>
                </c:pt>
                <c:pt idx="39">
                  <c:v>-645</c:v>
                </c:pt>
                <c:pt idx="40">
                  <c:v>-645</c:v>
                </c:pt>
                <c:pt idx="41">
                  <c:v>-645</c:v>
                </c:pt>
                <c:pt idx="42">
                  <c:v>-645</c:v>
                </c:pt>
                <c:pt idx="43">
                  <c:v>-645</c:v>
                </c:pt>
                <c:pt idx="44">
                  <c:v>-645</c:v>
                </c:pt>
                <c:pt idx="45">
                  <c:v>-645</c:v>
                </c:pt>
                <c:pt idx="46">
                  <c:v>-645</c:v>
                </c:pt>
                <c:pt idx="47">
                  <c:v>-645</c:v>
                </c:pt>
                <c:pt idx="48">
                  <c:v>-645</c:v>
                </c:pt>
                <c:pt idx="49">
                  <c:v>-645</c:v>
                </c:pt>
                <c:pt idx="50">
                  <c:v>-645</c:v>
                </c:pt>
                <c:pt idx="51">
                  <c:v>-645</c:v>
                </c:pt>
                <c:pt idx="52">
                  <c:v>-645</c:v>
                </c:pt>
                <c:pt idx="53">
                  <c:v>-645</c:v>
                </c:pt>
                <c:pt idx="54">
                  <c:v>-645</c:v>
                </c:pt>
                <c:pt idx="55">
                  <c:v>-645</c:v>
                </c:pt>
                <c:pt idx="56">
                  <c:v>-645</c:v>
                </c:pt>
                <c:pt idx="57">
                  <c:v>-645</c:v>
                </c:pt>
                <c:pt idx="58">
                  <c:v>-645</c:v>
                </c:pt>
                <c:pt idx="59">
                  <c:v>-645</c:v>
                </c:pt>
                <c:pt idx="60">
                  <c:v>-645</c:v>
                </c:pt>
              </c:numCache>
            </c:numRef>
          </c:val>
          <c:smooth val="0"/>
          <c:extLst>
            <c:ext xmlns:c16="http://schemas.microsoft.com/office/drawing/2014/chart" uri="{C3380CC4-5D6E-409C-BE32-E72D297353CC}">
              <c16:uniqueId val="{00000001-A0DD-0343-878A-9AF816FFA646}"/>
            </c:ext>
          </c:extLst>
        </c:ser>
        <c:ser>
          <c:idx val="2"/>
          <c:order val="2"/>
          <c:tx>
            <c:strRef>
              <c:f>'1-leg trade'!$I$96</c:f>
              <c:strCache>
                <c:ptCount val="1"/>
                <c:pt idx="0">
                  <c:v>Final P&amp;L</c:v>
                </c:pt>
              </c:strCache>
            </c:strRef>
          </c:tx>
          <c:spPr>
            <a:ln w="28575" cap="rnd">
              <a:solidFill>
                <a:schemeClr val="bg1"/>
              </a:solidFill>
              <a:round/>
            </a:ln>
            <a:effectLst/>
          </c:spPr>
          <c:marker>
            <c:symbol val="none"/>
          </c:marker>
          <c:cat>
            <c:numRef>
              <c:f>'1-leg trade'!$D$97:$D$157</c:f>
              <c:numCache>
                <c:formatCode>_-[$$-409]* #,##0.00_ ;_-[$$-409]* \-#,##0.00\ ;_-[$$-409]* "-"??_ ;_-@_ </c:formatCode>
                <c:ptCount val="61"/>
                <c:pt idx="0">
                  <c:v>163.84899999999999</c:v>
                </c:pt>
                <c:pt idx="1">
                  <c:v>166.18969999999999</c:v>
                </c:pt>
                <c:pt idx="2">
                  <c:v>168.53039999999999</c:v>
                </c:pt>
                <c:pt idx="3">
                  <c:v>170.87109999999998</c:v>
                </c:pt>
                <c:pt idx="4">
                  <c:v>173.21179999999998</c:v>
                </c:pt>
                <c:pt idx="5">
                  <c:v>175.55250000000001</c:v>
                </c:pt>
                <c:pt idx="6">
                  <c:v>177.89320000000001</c:v>
                </c:pt>
                <c:pt idx="7">
                  <c:v>180.23390000000001</c:v>
                </c:pt>
                <c:pt idx="8">
                  <c:v>182.5746</c:v>
                </c:pt>
                <c:pt idx="9">
                  <c:v>184.9153</c:v>
                </c:pt>
                <c:pt idx="10">
                  <c:v>187.256</c:v>
                </c:pt>
                <c:pt idx="11">
                  <c:v>189.5967</c:v>
                </c:pt>
                <c:pt idx="12">
                  <c:v>191.9374</c:v>
                </c:pt>
                <c:pt idx="13">
                  <c:v>194.27809999999999</c:v>
                </c:pt>
                <c:pt idx="14">
                  <c:v>196.61879999999999</c:v>
                </c:pt>
                <c:pt idx="15">
                  <c:v>198.95949999999999</c:v>
                </c:pt>
                <c:pt idx="16">
                  <c:v>201.30019999999999</c:v>
                </c:pt>
                <c:pt idx="17">
                  <c:v>203.64089999999999</c:v>
                </c:pt>
                <c:pt idx="18">
                  <c:v>205.98159999999999</c:v>
                </c:pt>
                <c:pt idx="19">
                  <c:v>208.32229999999998</c:v>
                </c:pt>
                <c:pt idx="20">
                  <c:v>210.66300000000001</c:v>
                </c:pt>
                <c:pt idx="21">
                  <c:v>213.00370000000001</c:v>
                </c:pt>
                <c:pt idx="22">
                  <c:v>215.34440000000001</c:v>
                </c:pt>
                <c:pt idx="23">
                  <c:v>217.68510000000001</c:v>
                </c:pt>
                <c:pt idx="24">
                  <c:v>220.02579999999998</c:v>
                </c:pt>
                <c:pt idx="25">
                  <c:v>222.36649999999997</c:v>
                </c:pt>
                <c:pt idx="26">
                  <c:v>224.70719999999997</c:v>
                </c:pt>
                <c:pt idx="27">
                  <c:v>227.0479</c:v>
                </c:pt>
                <c:pt idx="28">
                  <c:v>229.3886</c:v>
                </c:pt>
                <c:pt idx="29">
                  <c:v>231.72929999999999</c:v>
                </c:pt>
                <c:pt idx="30">
                  <c:v>234.07</c:v>
                </c:pt>
                <c:pt idx="31">
                  <c:v>236.41069999999999</c:v>
                </c:pt>
                <c:pt idx="32">
                  <c:v>238.75139999999999</c:v>
                </c:pt>
                <c:pt idx="33">
                  <c:v>241.09209999999999</c:v>
                </c:pt>
                <c:pt idx="34">
                  <c:v>243.43280000000001</c:v>
                </c:pt>
                <c:pt idx="35">
                  <c:v>245.77350000000001</c:v>
                </c:pt>
                <c:pt idx="36">
                  <c:v>248.11420000000001</c:v>
                </c:pt>
                <c:pt idx="37">
                  <c:v>250.45490000000001</c:v>
                </c:pt>
                <c:pt idx="38">
                  <c:v>252.79560000000001</c:v>
                </c:pt>
                <c:pt idx="39">
                  <c:v>255.13630000000001</c:v>
                </c:pt>
                <c:pt idx="40">
                  <c:v>257.47700000000003</c:v>
                </c:pt>
                <c:pt idx="41">
                  <c:v>259.8177</c:v>
                </c:pt>
                <c:pt idx="42">
                  <c:v>262.15840000000003</c:v>
                </c:pt>
                <c:pt idx="43">
                  <c:v>264.49909999999994</c:v>
                </c:pt>
                <c:pt idx="44">
                  <c:v>266.83979999999997</c:v>
                </c:pt>
                <c:pt idx="45">
                  <c:v>269.18049999999999</c:v>
                </c:pt>
                <c:pt idx="46">
                  <c:v>271.52119999999996</c:v>
                </c:pt>
                <c:pt idx="47">
                  <c:v>273.86189999999999</c:v>
                </c:pt>
                <c:pt idx="48">
                  <c:v>276.20259999999996</c:v>
                </c:pt>
                <c:pt idx="49">
                  <c:v>278.54329999999999</c:v>
                </c:pt>
                <c:pt idx="50">
                  <c:v>280.88399999999996</c:v>
                </c:pt>
                <c:pt idx="51">
                  <c:v>283.22469999999998</c:v>
                </c:pt>
                <c:pt idx="52">
                  <c:v>285.56540000000001</c:v>
                </c:pt>
                <c:pt idx="53">
                  <c:v>287.90609999999998</c:v>
                </c:pt>
                <c:pt idx="54">
                  <c:v>290.24680000000001</c:v>
                </c:pt>
                <c:pt idx="55">
                  <c:v>292.58749999999998</c:v>
                </c:pt>
                <c:pt idx="56">
                  <c:v>294.9282</c:v>
                </c:pt>
                <c:pt idx="57">
                  <c:v>297.26889999999997</c:v>
                </c:pt>
                <c:pt idx="58">
                  <c:v>299.6096</c:v>
                </c:pt>
                <c:pt idx="59">
                  <c:v>301.95030000000003</c:v>
                </c:pt>
                <c:pt idx="60">
                  <c:v>304.291</c:v>
                </c:pt>
              </c:numCache>
            </c:numRef>
          </c:cat>
          <c:val>
            <c:numRef>
              <c:f>'1-leg trade'!$I$97:$I$157</c:f>
              <c:numCache>
                <c:formatCode>_-[$$-409]* #,##0.00_ ;_-[$$-409]* \-#,##0.00\ ;_-[$$-409]* "-"??_ ;_-@_ </c:formatCode>
                <c:ptCount val="61"/>
                <c:pt idx="0">
                  <c:v>11484.2</c:v>
                </c:pt>
                <c:pt idx="1">
                  <c:v>11016.060000000001</c:v>
                </c:pt>
                <c:pt idx="2">
                  <c:v>10547.920000000002</c:v>
                </c:pt>
                <c:pt idx="3">
                  <c:v>10079.780000000002</c:v>
                </c:pt>
                <c:pt idx="4">
                  <c:v>9611.6400000000031</c:v>
                </c:pt>
                <c:pt idx="5">
                  <c:v>9143.4999999999982</c:v>
                </c:pt>
                <c:pt idx="6">
                  <c:v>8675.3599999999988</c:v>
                </c:pt>
                <c:pt idx="7">
                  <c:v>8207.2199999999975</c:v>
                </c:pt>
                <c:pt idx="8">
                  <c:v>7739.0799999999981</c:v>
                </c:pt>
                <c:pt idx="9">
                  <c:v>7270.9399999999987</c:v>
                </c:pt>
                <c:pt idx="10">
                  <c:v>6802.7999999999993</c:v>
                </c:pt>
                <c:pt idx="11">
                  <c:v>6334.66</c:v>
                </c:pt>
                <c:pt idx="12">
                  <c:v>5866.52</c:v>
                </c:pt>
                <c:pt idx="13">
                  <c:v>5398.380000000001</c:v>
                </c:pt>
                <c:pt idx="14">
                  <c:v>4930.2400000000016</c:v>
                </c:pt>
                <c:pt idx="15">
                  <c:v>4462.1000000000022</c:v>
                </c:pt>
                <c:pt idx="16">
                  <c:v>3993.9600000000019</c:v>
                </c:pt>
                <c:pt idx="17">
                  <c:v>3525.8200000000024</c:v>
                </c:pt>
                <c:pt idx="18">
                  <c:v>3057.680000000003</c:v>
                </c:pt>
                <c:pt idx="19">
                  <c:v>2589.5400000000031</c:v>
                </c:pt>
                <c:pt idx="20">
                  <c:v>2121.3999999999978</c:v>
                </c:pt>
                <c:pt idx="21">
                  <c:v>1653.2599999999984</c:v>
                </c:pt>
                <c:pt idx="22">
                  <c:v>1185.1199999999985</c:v>
                </c:pt>
                <c:pt idx="23">
                  <c:v>716.979999999999</c:v>
                </c:pt>
                <c:pt idx="24">
                  <c:v>251.42000000000257</c:v>
                </c:pt>
                <c:pt idx="25">
                  <c:v>17.350000000002638</c:v>
                </c:pt>
                <c:pt idx="26">
                  <c:v>-216.71999999999719</c:v>
                </c:pt>
                <c:pt idx="27">
                  <c:v>-450.78999999999985</c:v>
                </c:pt>
                <c:pt idx="28">
                  <c:v>-684.85999999999967</c:v>
                </c:pt>
                <c:pt idx="29">
                  <c:v>-918.9299999999995</c:v>
                </c:pt>
                <c:pt idx="30">
                  <c:v>-1152.9999999999993</c:v>
                </c:pt>
                <c:pt idx="31">
                  <c:v>-1246</c:v>
                </c:pt>
                <c:pt idx="32">
                  <c:v>-1246</c:v>
                </c:pt>
                <c:pt idx="33">
                  <c:v>-1246</c:v>
                </c:pt>
                <c:pt idx="34">
                  <c:v>-1246</c:v>
                </c:pt>
                <c:pt idx="35">
                  <c:v>-1246</c:v>
                </c:pt>
                <c:pt idx="36">
                  <c:v>-1246</c:v>
                </c:pt>
                <c:pt idx="37">
                  <c:v>-1246</c:v>
                </c:pt>
                <c:pt idx="38">
                  <c:v>-1246</c:v>
                </c:pt>
                <c:pt idx="39">
                  <c:v>-1246</c:v>
                </c:pt>
                <c:pt idx="40">
                  <c:v>-1246</c:v>
                </c:pt>
                <c:pt idx="41">
                  <c:v>-1246</c:v>
                </c:pt>
                <c:pt idx="42">
                  <c:v>-1246</c:v>
                </c:pt>
                <c:pt idx="43">
                  <c:v>-1246</c:v>
                </c:pt>
                <c:pt idx="44">
                  <c:v>-1246</c:v>
                </c:pt>
                <c:pt idx="45">
                  <c:v>-1246</c:v>
                </c:pt>
                <c:pt idx="46">
                  <c:v>-1246</c:v>
                </c:pt>
                <c:pt idx="47">
                  <c:v>-1246</c:v>
                </c:pt>
                <c:pt idx="48">
                  <c:v>-1246</c:v>
                </c:pt>
                <c:pt idx="49">
                  <c:v>-1246</c:v>
                </c:pt>
                <c:pt idx="50">
                  <c:v>-1246</c:v>
                </c:pt>
                <c:pt idx="51">
                  <c:v>-1246</c:v>
                </c:pt>
                <c:pt idx="52">
                  <c:v>-1246</c:v>
                </c:pt>
                <c:pt idx="53">
                  <c:v>-1246</c:v>
                </c:pt>
                <c:pt idx="54">
                  <c:v>-1246</c:v>
                </c:pt>
                <c:pt idx="55">
                  <c:v>-1246</c:v>
                </c:pt>
                <c:pt idx="56">
                  <c:v>-1246</c:v>
                </c:pt>
                <c:pt idx="57">
                  <c:v>-1246</c:v>
                </c:pt>
                <c:pt idx="58">
                  <c:v>-1246</c:v>
                </c:pt>
                <c:pt idx="59">
                  <c:v>-1246</c:v>
                </c:pt>
                <c:pt idx="60">
                  <c:v>-1246</c:v>
                </c:pt>
              </c:numCache>
            </c:numRef>
          </c:val>
          <c:smooth val="0"/>
          <c:extLst>
            <c:ext xmlns:c16="http://schemas.microsoft.com/office/drawing/2014/chart" uri="{C3380CC4-5D6E-409C-BE32-E72D297353CC}">
              <c16:uniqueId val="{00000002-A0DD-0343-878A-9AF816FFA646}"/>
            </c:ext>
          </c:extLst>
        </c:ser>
        <c:dLbls>
          <c:showLegendKey val="0"/>
          <c:showVal val="0"/>
          <c:showCatName val="0"/>
          <c:showSerName val="0"/>
          <c:showPercent val="0"/>
          <c:showBubbleSize val="0"/>
        </c:dLbls>
        <c:smooth val="0"/>
        <c:axId val="476817375"/>
        <c:axId val="476619887"/>
      </c:lineChart>
      <c:catAx>
        <c:axId val="476817375"/>
        <c:scaling>
          <c:orientation val="minMax"/>
        </c:scaling>
        <c:delete val="0"/>
        <c:axPos val="b"/>
        <c:numFmt formatCode="[$$-409]#,##0" sourceLinked="0"/>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bg1"/>
                </a:solidFill>
                <a:latin typeface="+mn-lt"/>
                <a:ea typeface="+mn-ea"/>
                <a:cs typeface="+mn-cs"/>
              </a:defRPr>
            </a:pPr>
            <a:endParaRPr lang="en-IT"/>
          </a:p>
        </c:txPr>
        <c:crossAx val="476619887"/>
        <c:crosses val="autoZero"/>
        <c:auto val="1"/>
        <c:lblAlgn val="ctr"/>
        <c:lblOffset val="20"/>
        <c:tickLblSkip val="10"/>
        <c:tickMarkSkip val="1"/>
        <c:noMultiLvlLbl val="0"/>
      </c:catAx>
      <c:valAx>
        <c:axId val="476619887"/>
        <c:scaling>
          <c:orientation val="minMax"/>
        </c:scaling>
        <c:delete val="0"/>
        <c:axPos val="l"/>
        <c:majorGridlines>
          <c:spPr>
            <a:ln w="9525" cap="flat" cmpd="sng" algn="ctr">
              <a:solidFill>
                <a:schemeClr val="tx1">
                  <a:lumMod val="15000"/>
                  <a:lumOff val="85000"/>
                </a:schemeClr>
              </a:solidFill>
              <a:round/>
            </a:ln>
            <a:effectLst/>
          </c:spPr>
        </c:majorGridlines>
        <c:numFmt formatCode="_-[$$-409]* #,##0.00_ ;_-[$$-409]* \-#,##0.00\ ;_-[$$-409]* &quot;-&quot;??_ ;_-@_ " sourceLinked="1"/>
        <c:majorTickMark val="none"/>
        <c:minorTickMark val="none"/>
        <c:tickLblPos val="nextTo"/>
        <c:spPr>
          <a:solidFill>
            <a:schemeClr val="bg1"/>
          </a:solid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IT"/>
          </a:p>
        </c:txPr>
        <c:crossAx val="476817375"/>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0" i="0" u="none" strike="noStrike" kern="1200" baseline="0">
              <a:solidFill>
                <a:schemeClr val="bg1"/>
              </a:solidFill>
              <a:latin typeface="+mn-lt"/>
              <a:ea typeface="+mn-ea"/>
              <a:cs typeface="+mn-cs"/>
            </a:defRPr>
          </a:pPr>
          <a:endParaRPr lang="en-IT"/>
        </a:p>
      </c:txPr>
    </c:legend>
    <c:plotVisOnly val="0"/>
    <c:dispBlanksAs val="gap"/>
    <c:showDLblsOverMax val="0"/>
  </c:chart>
  <c:spPr>
    <a:solidFill>
      <a:srgbClr val="40B879"/>
    </a:solidFill>
    <a:ln w="9525" cap="flat" cmpd="sng" algn="ctr">
      <a:solidFill>
        <a:schemeClr val="tx1">
          <a:lumMod val="15000"/>
          <a:lumOff val="85000"/>
        </a:schemeClr>
      </a:solidFill>
      <a:round/>
    </a:ln>
    <a:effectLst/>
  </c:spPr>
  <c:txPr>
    <a:bodyPr/>
    <a:lstStyle/>
    <a:p>
      <a:pPr>
        <a:defRPr/>
      </a:pPr>
      <a:endParaRPr lang="en-IT"/>
    </a:p>
  </c:txPr>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heets/_rels/sheet1.xml.rels><?xml version="1.0" encoding="UTF-8" standalone="yes"?>
<Relationships xmlns="http://schemas.openxmlformats.org/package/2006/relationships"><Relationship Id="rId1" Type="http://schemas.openxmlformats.org/officeDocument/2006/relationships/drawing" Target="../drawings/drawing2.xml"/></Relationships>
</file>

<file path=xl/chartsheets/sheet1.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517892D0-7880-A848-87E5-85945753EFC0}">
  <sheetPr/>
  <sheetViews>
    <sheetView zoomScale="142" workbookViewId="0" zoomToFit="1"/>
  </sheetViews>
  <pageMargins left="0.7" right="0.7" top="0.75" bottom="0.75" header="0.3" footer="0.3"/>
  <drawing r:id="rId1"/>
</chartsheet>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0</xdr:col>
      <xdr:colOff>200026</xdr:colOff>
      <xdr:row>0</xdr:row>
      <xdr:rowOff>190447</xdr:rowOff>
    </xdr:from>
    <xdr:to>
      <xdr:col>3</xdr:col>
      <xdr:colOff>104775</xdr:colOff>
      <xdr:row>3</xdr:row>
      <xdr:rowOff>0</xdr:rowOff>
    </xdr:to>
    <xdr:pic>
      <xdr:nvPicPr>
        <xdr:cNvPr id="2" name="Picture 1">
          <a:extLst>
            <a:ext uri="{FF2B5EF4-FFF2-40B4-BE49-F238E27FC236}">
              <a16:creationId xmlns:a16="http://schemas.microsoft.com/office/drawing/2014/main" id="{732750DB-607D-1145-8D77-D7957A8ACFB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00026" y="190447"/>
          <a:ext cx="2381249" cy="38105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absoluteAnchor>
    <xdr:pos x="0" y="0"/>
    <xdr:ext cx="9301408" cy="6063803"/>
    <xdr:graphicFrame macro="">
      <xdr:nvGraphicFramePr>
        <xdr:cNvPr id="2" name="Chart 1">
          <a:extLst>
            <a:ext uri="{FF2B5EF4-FFF2-40B4-BE49-F238E27FC236}">
              <a16:creationId xmlns:a16="http://schemas.microsoft.com/office/drawing/2014/main" id="{335FC8D7-9CD3-512E-9DF2-892216FC2A5A}"/>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0">
    <wetp:webextensionref xmlns:r="http://schemas.openxmlformats.org/officeDocument/2006/relationships" r:id="rId1"/>
  </wetp:taskpane>
</wetp:taskpanes>
</file>

<file path=xl/webextensions/webextension1.xml><?xml version="1.0" encoding="utf-8"?>
<we:webextension xmlns:we="http://schemas.microsoft.com/office/webextensions/webextension/2010/11" id="{45F3A7F3-641A-EE48-815F-AD53A699F18E}">
  <we:reference id="5c1926c6-e184-4b7b-ab86-fb3254b07aeb" version="1.0.0.0" store="developer" storeType="Registry"/>
  <we:alternateReferences/>
  <we:properties/>
  <we:bindings/>
  <we:snapshot xmlns:r="http://schemas.openxmlformats.org/officeDocument/2006/relationships"/>
  <we:extLst>
    <a:ext xmlns:a="http://schemas.openxmlformats.org/drawingml/2006/main" uri="{D87F86FE-615C-45B5-9D79-34F1136793EB}">
      <we:containsCustomFunctions val="1"/>
    </a:ext>
    <a:ext xmlns:a="http://schemas.openxmlformats.org/drawingml/2006/main" uri="{7C84B067-C214-45C3-A712-C9D94CD141B2}">
      <we:customFunctionIdList>
        <we:customFunctionIds>_xldudf_OPTIONSAMURAI_STOCK</we:customFunctionIds>
        <we:customFunctionIds>_xldudf_OPTIONSAMURAI_OPTION</we:customFunctionIds>
        <we:customFunctionIds>_xldudf_OPTIONSAMURAI_HEADER</we:customFunctionIds>
      </we:customFunctionIdList>
    </a:ext>
  </we:extLst>
</we:webextension>
</file>

<file path=xl/worksheets/_rels/sheet1.xml.rels><?xml version="1.0" encoding="UTF-8" standalone="yes"?>
<Relationships xmlns="http://schemas.openxmlformats.org/package/2006/relationships"><Relationship Id="rId3" Type="http://schemas.openxmlformats.org/officeDocument/2006/relationships/hyperlink" Target="https://samurai.froged.help/docs/en/2202695-installing-excelgoogle-sheet-plugin" TargetMode="External"/><Relationship Id="rId2" Type="http://schemas.openxmlformats.org/officeDocument/2006/relationships/hyperlink" Target="https://samurai.froged.help/docs/en/89714462-excel--google-sheets-integration" TargetMode="External"/><Relationship Id="rId1" Type="http://schemas.openxmlformats.org/officeDocument/2006/relationships/hyperlink" Target="https://optionsamurai.com/" TargetMode="External"/><Relationship Id="rId5" Type="http://schemas.openxmlformats.org/officeDocument/2006/relationships/drawing" Target="../drawings/drawing1.xml"/><Relationship Id="rId4" Type="http://schemas.openxmlformats.org/officeDocument/2006/relationships/hyperlink" Target="https://optionsamurai.com/blog/rolling-templat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645C21-3F52-4F41-BEF0-A776B488DBA1}">
  <dimension ref="A4:Z64"/>
  <sheetViews>
    <sheetView tabSelected="1" workbookViewId="0"/>
  </sheetViews>
  <sheetFormatPr baseColWidth="10" defaultColWidth="9.1640625" defaultRowHeight="15" x14ac:dyDescent="0.2"/>
  <cols>
    <col min="1" max="16384" width="9.1640625" style="98"/>
  </cols>
  <sheetData>
    <row r="4" spans="1:26" x14ac:dyDescent="0.2">
      <c r="G4" s="99"/>
      <c r="I4" s="100"/>
      <c r="J4" s="99"/>
      <c r="L4" s="99"/>
      <c r="M4" s="99"/>
      <c r="N4" s="99"/>
      <c r="P4" s="100"/>
    </row>
    <row r="5" spans="1:26" x14ac:dyDescent="0.2">
      <c r="A5" s="110" t="s">
        <v>59</v>
      </c>
      <c r="B5" s="110"/>
      <c r="C5" s="110"/>
      <c r="D5" s="110"/>
      <c r="E5" s="110"/>
      <c r="F5" s="110"/>
      <c r="G5" s="110"/>
      <c r="H5" s="110"/>
      <c r="I5" s="110"/>
      <c r="J5" s="110"/>
      <c r="K5" s="110"/>
      <c r="L5" s="110"/>
      <c r="M5" s="110"/>
      <c r="N5" s="99"/>
      <c r="P5" s="100"/>
    </row>
    <row r="6" spans="1:26" x14ac:dyDescent="0.2">
      <c r="A6" s="110"/>
      <c r="B6" s="110"/>
      <c r="C6" s="110"/>
      <c r="D6" s="110"/>
      <c r="E6" s="110"/>
      <c r="F6" s="110"/>
      <c r="G6" s="110"/>
      <c r="H6" s="110"/>
      <c r="I6" s="110"/>
      <c r="J6" s="110"/>
      <c r="K6" s="110"/>
      <c r="L6" s="110"/>
      <c r="M6" s="110"/>
    </row>
    <row r="7" spans="1:26" x14ac:dyDescent="0.2">
      <c r="A7" s="101"/>
      <c r="B7" s="101"/>
      <c r="C7" s="101"/>
      <c r="D7" s="101"/>
      <c r="E7" s="101"/>
      <c r="F7" s="101"/>
      <c r="G7" s="102"/>
      <c r="H7" s="101"/>
      <c r="I7" s="103"/>
      <c r="J7" s="102"/>
      <c r="K7" s="101"/>
      <c r="L7" s="101"/>
      <c r="M7" s="101"/>
    </row>
    <row r="8" spans="1:26" x14ac:dyDescent="0.2">
      <c r="A8" s="101"/>
      <c r="B8" s="104" t="s">
        <v>52</v>
      </c>
      <c r="C8" s="101"/>
      <c r="D8" s="105" t="s">
        <v>53</v>
      </c>
      <c r="E8" s="101"/>
      <c r="F8" s="101"/>
      <c r="G8" s="102"/>
      <c r="H8" s="101"/>
      <c r="I8" s="105" t="s">
        <v>54</v>
      </c>
      <c r="J8" s="102"/>
      <c r="K8" s="101"/>
      <c r="L8" s="102"/>
      <c r="M8" s="102"/>
      <c r="N8" s="99"/>
      <c r="P8" s="100"/>
    </row>
    <row r="9" spans="1:26" ht="16" x14ac:dyDescent="0.2">
      <c r="A9" s="101"/>
      <c r="B9" s="101"/>
      <c r="C9" s="101"/>
      <c r="D9" s="106" t="s">
        <v>55</v>
      </c>
      <c r="E9" s="101"/>
      <c r="F9" s="101"/>
      <c r="G9" s="101"/>
      <c r="H9" s="101"/>
      <c r="I9" s="131" t="s">
        <v>56</v>
      </c>
      <c r="J9" s="102"/>
      <c r="K9" s="101"/>
      <c r="L9" s="102"/>
      <c r="M9" s="102"/>
      <c r="N9" s="99"/>
      <c r="P9" s="100"/>
    </row>
    <row r="10" spans="1:26" x14ac:dyDescent="0.2">
      <c r="A10" s="101"/>
      <c r="B10" s="101"/>
      <c r="C10" s="101"/>
      <c r="D10" s="101"/>
      <c r="E10" s="101"/>
      <c r="F10" s="101"/>
      <c r="G10" s="102"/>
      <c r="H10" s="101"/>
      <c r="I10" s="101"/>
      <c r="J10" s="102"/>
      <c r="K10" s="101"/>
      <c r="L10" s="102"/>
      <c r="M10" s="102"/>
      <c r="N10" s="99"/>
      <c r="P10" s="100"/>
    </row>
    <row r="11" spans="1:26" x14ac:dyDescent="0.2">
      <c r="G11" s="99"/>
      <c r="I11" s="100"/>
      <c r="J11" s="99"/>
      <c r="L11" s="99"/>
      <c r="M11" s="99"/>
      <c r="N11" s="99"/>
      <c r="P11" s="100"/>
    </row>
    <row r="12" spans="1:26" ht="19" x14ac:dyDescent="0.25">
      <c r="A12" s="111" t="s">
        <v>57</v>
      </c>
      <c r="B12" s="111"/>
      <c r="C12" s="111"/>
      <c r="D12" s="111"/>
      <c r="E12" s="111"/>
      <c r="F12" s="111"/>
      <c r="G12" s="111"/>
      <c r="H12" s="111"/>
      <c r="I12" s="111"/>
      <c r="J12" s="111"/>
      <c r="K12" s="111"/>
      <c r="L12" s="111"/>
      <c r="M12" s="111"/>
    </row>
    <row r="14" spans="1:26" ht="15" customHeight="1" x14ac:dyDescent="0.2">
      <c r="B14" s="109" t="s">
        <v>60</v>
      </c>
      <c r="C14" s="109"/>
      <c r="D14" s="109"/>
      <c r="E14" s="109"/>
      <c r="F14" s="109"/>
      <c r="G14" s="109"/>
      <c r="H14" s="109"/>
      <c r="I14" s="109"/>
      <c r="J14" s="109"/>
      <c r="K14" s="109"/>
      <c r="L14" s="109"/>
      <c r="P14" s="109"/>
      <c r="Q14" s="109"/>
      <c r="R14" s="109"/>
      <c r="S14" s="109"/>
      <c r="T14" s="109"/>
      <c r="U14" s="109"/>
      <c r="V14" s="109"/>
      <c r="W14" s="109"/>
      <c r="X14" s="109"/>
      <c r="Y14" s="109"/>
      <c r="Z14" s="109"/>
    </row>
    <row r="15" spans="1:26" x14ac:dyDescent="0.2">
      <c r="B15" s="109"/>
      <c r="C15" s="109"/>
      <c r="D15" s="109"/>
      <c r="E15" s="109"/>
      <c r="F15" s="109"/>
      <c r="G15" s="109"/>
      <c r="H15" s="109"/>
      <c r="I15" s="109"/>
      <c r="J15" s="109"/>
      <c r="K15" s="109"/>
      <c r="L15" s="109"/>
      <c r="P15" s="109"/>
      <c r="Q15" s="109"/>
      <c r="R15" s="109"/>
      <c r="S15" s="109"/>
      <c r="T15" s="109"/>
      <c r="U15" s="109"/>
      <c r="V15" s="109"/>
      <c r="W15" s="109"/>
      <c r="X15" s="109"/>
      <c r="Y15" s="109"/>
      <c r="Z15" s="109"/>
    </row>
    <row r="16" spans="1:26" x14ac:dyDescent="0.2">
      <c r="B16" s="109"/>
      <c r="C16" s="109"/>
      <c r="D16" s="109"/>
      <c r="E16" s="109"/>
      <c r="F16" s="109"/>
      <c r="G16" s="109"/>
      <c r="H16" s="109"/>
      <c r="I16" s="109"/>
      <c r="J16" s="109"/>
      <c r="K16" s="109"/>
      <c r="L16" s="109"/>
      <c r="M16" s="99"/>
      <c r="N16" s="99"/>
      <c r="P16" s="109"/>
      <c r="Q16" s="109"/>
      <c r="R16" s="109"/>
      <c r="S16" s="109"/>
      <c r="T16" s="109"/>
      <c r="U16" s="109"/>
      <c r="V16" s="109"/>
      <c r="W16" s="109"/>
      <c r="X16" s="109"/>
      <c r="Y16" s="109"/>
      <c r="Z16" s="109"/>
    </row>
    <row r="17" spans="1:26" x14ac:dyDescent="0.2">
      <c r="B17" s="109"/>
      <c r="C17" s="109"/>
      <c r="D17" s="109"/>
      <c r="E17" s="109"/>
      <c r="F17" s="109"/>
      <c r="G17" s="109"/>
      <c r="H17" s="109"/>
      <c r="I17" s="109"/>
      <c r="J17" s="109"/>
      <c r="K17" s="109"/>
      <c r="L17" s="109"/>
      <c r="M17" s="99"/>
      <c r="N17" s="99"/>
      <c r="P17" s="109"/>
      <c r="Q17" s="109"/>
      <c r="R17" s="109"/>
      <c r="S17" s="109"/>
      <c r="T17" s="109"/>
      <c r="U17" s="109"/>
      <c r="V17" s="109"/>
      <c r="W17" s="109"/>
      <c r="X17" s="109"/>
      <c r="Y17" s="109"/>
      <c r="Z17" s="109"/>
    </row>
    <row r="18" spans="1:26" x14ac:dyDescent="0.2">
      <c r="B18" s="109"/>
      <c r="C18" s="109"/>
      <c r="D18" s="109"/>
      <c r="E18" s="109"/>
      <c r="F18" s="109"/>
      <c r="G18" s="109"/>
      <c r="H18" s="109"/>
      <c r="I18" s="109"/>
      <c r="J18" s="109"/>
      <c r="K18" s="109"/>
      <c r="L18" s="109"/>
      <c r="M18" s="99"/>
      <c r="N18" s="99"/>
      <c r="P18" s="109"/>
      <c r="Q18" s="109"/>
      <c r="R18" s="109"/>
      <c r="S18" s="109"/>
      <c r="T18" s="109"/>
      <c r="U18" s="109"/>
      <c r="V18" s="109"/>
      <c r="W18" s="109"/>
      <c r="X18" s="109"/>
      <c r="Y18" s="109"/>
      <c r="Z18" s="109"/>
    </row>
    <row r="19" spans="1:26" x14ac:dyDescent="0.2">
      <c r="B19" s="109"/>
      <c r="C19" s="109"/>
      <c r="D19" s="109"/>
      <c r="E19" s="109"/>
      <c r="F19" s="109"/>
      <c r="G19" s="109"/>
      <c r="H19" s="109"/>
      <c r="I19" s="109"/>
      <c r="J19" s="109"/>
      <c r="K19" s="109"/>
      <c r="L19" s="109"/>
      <c r="M19" s="99"/>
      <c r="N19" s="99"/>
      <c r="P19" s="107"/>
      <c r="Q19" s="107"/>
      <c r="R19" s="107"/>
      <c r="S19" s="107"/>
      <c r="T19" s="107"/>
      <c r="U19" s="107"/>
      <c r="V19" s="107"/>
      <c r="W19" s="107"/>
      <c r="X19" s="107"/>
      <c r="Y19" s="107"/>
      <c r="Z19" s="107"/>
    </row>
    <row r="20" spans="1:26" x14ac:dyDescent="0.2">
      <c r="B20" s="109"/>
      <c r="C20" s="109"/>
      <c r="D20" s="109"/>
      <c r="E20" s="109"/>
      <c r="F20" s="109"/>
      <c r="G20" s="109"/>
      <c r="H20" s="109"/>
      <c r="I20" s="109"/>
      <c r="J20" s="109"/>
      <c r="K20" s="109"/>
      <c r="L20" s="109"/>
      <c r="M20" s="99"/>
      <c r="N20" s="99"/>
      <c r="P20" s="107"/>
      <c r="Q20" s="107"/>
      <c r="R20" s="107"/>
      <c r="S20" s="107"/>
      <c r="T20" s="107"/>
      <c r="U20" s="107"/>
      <c r="V20" s="107"/>
      <c r="W20" s="107"/>
      <c r="X20" s="107"/>
      <c r="Y20" s="107"/>
      <c r="Z20" s="107"/>
    </row>
    <row r="21" spans="1:26" x14ac:dyDescent="0.2">
      <c r="B21" s="108"/>
      <c r="C21" s="108"/>
      <c r="D21" s="108"/>
      <c r="E21" s="108"/>
      <c r="F21" s="108"/>
      <c r="G21" s="108"/>
      <c r="H21" s="108"/>
      <c r="I21" s="108"/>
      <c r="J21" s="108"/>
      <c r="K21" s="108"/>
      <c r="L21" s="108"/>
      <c r="M21" s="99"/>
      <c r="N21" s="99"/>
      <c r="P21" s="100"/>
    </row>
    <row r="22" spans="1:26" ht="19" x14ac:dyDescent="0.25">
      <c r="A22" s="111" t="s">
        <v>58</v>
      </c>
      <c r="B22" s="111"/>
      <c r="C22" s="111"/>
      <c r="D22" s="111"/>
      <c r="E22" s="111"/>
      <c r="F22" s="111"/>
      <c r="G22" s="111"/>
      <c r="H22" s="111"/>
      <c r="I22" s="111"/>
      <c r="J22" s="111"/>
      <c r="K22" s="111"/>
      <c r="L22" s="111"/>
      <c r="M22" s="111"/>
      <c r="N22" s="99"/>
      <c r="P22" s="100"/>
    </row>
    <row r="23" spans="1:26" x14ac:dyDescent="0.2">
      <c r="G23" s="99"/>
      <c r="I23" s="100"/>
      <c r="J23" s="99"/>
      <c r="L23" s="99"/>
      <c r="M23" s="99"/>
      <c r="N23" s="99"/>
      <c r="P23" s="100"/>
    </row>
    <row r="24" spans="1:26" ht="15" customHeight="1" x14ac:dyDescent="0.2">
      <c r="B24" s="109" t="s">
        <v>61</v>
      </c>
      <c r="C24" s="109"/>
      <c r="D24" s="109"/>
      <c r="E24" s="109"/>
      <c r="F24" s="109"/>
      <c r="G24" s="109"/>
      <c r="H24" s="109"/>
      <c r="I24" s="109"/>
      <c r="J24" s="109"/>
      <c r="K24" s="109"/>
      <c r="L24" s="109"/>
      <c r="M24" s="99"/>
      <c r="N24" s="99"/>
      <c r="P24" s="100"/>
    </row>
    <row r="25" spans="1:26" x14ac:dyDescent="0.2">
      <c r="B25" s="109"/>
      <c r="C25" s="109"/>
      <c r="D25" s="109"/>
      <c r="E25" s="109"/>
      <c r="F25" s="109"/>
      <c r="G25" s="109"/>
      <c r="H25" s="109"/>
      <c r="I25" s="109"/>
      <c r="J25" s="109"/>
      <c r="K25" s="109"/>
      <c r="L25" s="109"/>
    </row>
    <row r="26" spans="1:26" x14ac:dyDescent="0.2">
      <c r="B26" s="109"/>
      <c r="C26" s="109"/>
      <c r="D26" s="109"/>
      <c r="E26" s="109"/>
      <c r="F26" s="109"/>
      <c r="G26" s="109"/>
      <c r="H26" s="109"/>
      <c r="I26" s="109"/>
      <c r="J26" s="109"/>
      <c r="K26" s="109"/>
      <c r="L26" s="109"/>
    </row>
    <row r="27" spans="1:26" x14ac:dyDescent="0.2">
      <c r="B27" s="109"/>
      <c r="C27" s="109"/>
      <c r="D27" s="109"/>
      <c r="E27" s="109"/>
      <c r="F27" s="109"/>
      <c r="G27" s="109"/>
      <c r="H27" s="109"/>
      <c r="I27" s="109"/>
      <c r="J27" s="109"/>
      <c r="K27" s="109"/>
      <c r="L27" s="109"/>
    </row>
    <row r="28" spans="1:26" x14ac:dyDescent="0.2">
      <c r="B28" s="109"/>
      <c r="C28" s="109"/>
      <c r="D28" s="109"/>
      <c r="E28" s="109"/>
      <c r="F28" s="109"/>
      <c r="G28" s="109"/>
      <c r="H28" s="109"/>
      <c r="I28" s="109"/>
      <c r="J28" s="109"/>
      <c r="K28" s="109"/>
      <c r="L28" s="109"/>
    </row>
    <row r="29" spans="1:26" x14ac:dyDescent="0.2">
      <c r="B29" s="109"/>
      <c r="C29" s="109"/>
      <c r="D29" s="109"/>
      <c r="E29" s="109"/>
      <c r="F29" s="109"/>
      <c r="G29" s="109"/>
      <c r="H29" s="109"/>
      <c r="I29" s="109"/>
      <c r="J29" s="109"/>
      <c r="K29" s="109"/>
      <c r="L29" s="109"/>
      <c r="M29" s="99"/>
      <c r="N29" s="99"/>
      <c r="P29" s="100"/>
    </row>
    <row r="30" spans="1:26" x14ac:dyDescent="0.2">
      <c r="B30" s="109"/>
      <c r="C30" s="109"/>
      <c r="D30" s="109"/>
      <c r="E30" s="109"/>
      <c r="F30" s="109"/>
      <c r="G30" s="109"/>
      <c r="H30" s="109"/>
      <c r="I30" s="109"/>
      <c r="J30" s="109"/>
      <c r="K30" s="109"/>
      <c r="L30" s="109"/>
      <c r="M30" s="99"/>
      <c r="N30" s="99"/>
      <c r="P30" s="100"/>
    </row>
    <row r="31" spans="1:26" x14ac:dyDescent="0.2">
      <c r="B31" s="109"/>
      <c r="C31" s="109"/>
      <c r="D31" s="109"/>
      <c r="E31" s="109"/>
      <c r="F31" s="109"/>
      <c r="G31" s="109"/>
      <c r="H31" s="109"/>
      <c r="I31" s="109"/>
      <c r="J31" s="109"/>
      <c r="K31" s="109"/>
      <c r="L31" s="109"/>
      <c r="M31" s="99"/>
      <c r="N31" s="99"/>
      <c r="P31" s="100"/>
    </row>
    <row r="32" spans="1:26" x14ac:dyDescent="0.2">
      <c r="B32" s="109"/>
      <c r="C32" s="109"/>
      <c r="D32" s="109"/>
      <c r="E32" s="109"/>
      <c r="F32" s="109"/>
      <c r="G32" s="109"/>
      <c r="H32" s="109"/>
      <c r="I32" s="109"/>
      <c r="J32" s="109"/>
      <c r="K32" s="109"/>
      <c r="L32" s="109"/>
      <c r="M32" s="99"/>
      <c r="N32" s="99"/>
      <c r="P32" s="100"/>
    </row>
    <row r="33" spans="2:16" x14ac:dyDescent="0.2">
      <c r="B33" s="109"/>
      <c r="C33" s="109"/>
      <c r="D33" s="109"/>
      <c r="E33" s="109"/>
      <c r="F33" s="109"/>
      <c r="G33" s="109"/>
      <c r="H33" s="109"/>
      <c r="I33" s="109"/>
      <c r="J33" s="109"/>
      <c r="K33" s="109"/>
      <c r="L33" s="109"/>
    </row>
    <row r="34" spans="2:16" x14ac:dyDescent="0.2">
      <c r="B34" s="109"/>
      <c r="C34" s="109"/>
      <c r="D34" s="109"/>
      <c r="E34" s="109"/>
      <c r="F34" s="109"/>
      <c r="G34" s="109"/>
      <c r="H34" s="109"/>
      <c r="I34" s="109"/>
      <c r="J34" s="109"/>
      <c r="K34" s="109"/>
      <c r="L34" s="109"/>
    </row>
    <row r="35" spans="2:16" x14ac:dyDescent="0.2">
      <c r="B35" s="109"/>
      <c r="C35" s="109"/>
      <c r="D35" s="109"/>
      <c r="E35" s="109"/>
      <c r="F35" s="109"/>
      <c r="G35" s="109"/>
      <c r="H35" s="109"/>
      <c r="I35" s="109"/>
      <c r="J35" s="109"/>
      <c r="K35" s="109"/>
      <c r="L35" s="109"/>
    </row>
    <row r="36" spans="2:16" x14ac:dyDescent="0.2">
      <c r="B36" s="109"/>
      <c r="C36" s="109"/>
      <c r="D36" s="109"/>
      <c r="E36" s="109"/>
      <c r="F36" s="109"/>
      <c r="G36" s="109"/>
      <c r="H36" s="109"/>
      <c r="I36" s="109"/>
      <c r="J36" s="109"/>
      <c r="K36" s="109"/>
      <c r="L36" s="109"/>
    </row>
    <row r="37" spans="2:16" x14ac:dyDescent="0.2">
      <c r="B37" s="109"/>
      <c r="C37" s="109"/>
      <c r="D37" s="109"/>
      <c r="E37" s="109"/>
      <c r="F37" s="109"/>
      <c r="G37" s="109"/>
      <c r="H37" s="109"/>
      <c r="I37" s="109"/>
      <c r="J37" s="109"/>
      <c r="K37" s="109"/>
      <c r="L37" s="109"/>
      <c r="M37" s="99"/>
      <c r="N37" s="99"/>
      <c r="P37" s="100"/>
    </row>
    <row r="38" spans="2:16" x14ac:dyDescent="0.2">
      <c r="B38" s="109"/>
      <c r="C38" s="109"/>
      <c r="D38" s="109"/>
      <c r="E38" s="109"/>
      <c r="F38" s="109"/>
      <c r="G38" s="109"/>
      <c r="H38" s="109"/>
      <c r="I38" s="109"/>
      <c r="J38" s="109"/>
      <c r="K38" s="109"/>
      <c r="L38" s="109"/>
    </row>
    <row r="39" spans="2:16" x14ac:dyDescent="0.2">
      <c r="B39" s="109"/>
      <c r="C39" s="109"/>
      <c r="D39" s="109"/>
      <c r="E39" s="109"/>
      <c r="F39" s="109"/>
      <c r="G39" s="109"/>
      <c r="H39" s="109"/>
      <c r="I39" s="109"/>
      <c r="J39" s="109"/>
      <c r="K39" s="109"/>
      <c r="L39" s="109"/>
    </row>
    <row r="40" spans="2:16" x14ac:dyDescent="0.2">
      <c r="B40" s="109"/>
      <c r="C40" s="109"/>
      <c r="D40" s="109"/>
      <c r="E40" s="109"/>
      <c r="F40" s="109"/>
      <c r="G40" s="109"/>
      <c r="H40" s="109"/>
      <c r="I40" s="109"/>
      <c r="J40" s="109"/>
      <c r="K40" s="109"/>
      <c r="L40" s="109"/>
    </row>
    <row r="41" spans="2:16" x14ac:dyDescent="0.2">
      <c r="B41" s="109"/>
      <c r="C41" s="109"/>
      <c r="D41" s="109"/>
      <c r="E41" s="109"/>
      <c r="F41" s="109"/>
      <c r="G41" s="109"/>
      <c r="H41" s="109"/>
      <c r="I41" s="109"/>
      <c r="J41" s="109"/>
      <c r="K41" s="109"/>
      <c r="L41" s="109"/>
      <c r="M41" s="99"/>
      <c r="N41" s="99"/>
      <c r="P41" s="100"/>
    </row>
    <row r="42" spans="2:16" x14ac:dyDescent="0.2">
      <c r="B42" s="108"/>
      <c r="C42" s="108"/>
      <c r="D42" s="108"/>
      <c r="E42" s="108"/>
      <c r="F42" s="108"/>
      <c r="G42" s="108"/>
      <c r="H42" s="108"/>
      <c r="I42" s="108"/>
      <c r="J42" s="108"/>
      <c r="K42" s="108"/>
      <c r="L42" s="108"/>
    </row>
    <row r="43" spans="2:16" x14ac:dyDescent="0.2">
      <c r="B43" s="108"/>
      <c r="C43" s="108"/>
      <c r="D43" s="108"/>
      <c r="E43" s="108"/>
      <c r="F43" s="108"/>
      <c r="G43" s="108"/>
      <c r="H43" s="108"/>
      <c r="I43" s="108"/>
      <c r="J43" s="108"/>
      <c r="K43" s="108"/>
      <c r="L43" s="108"/>
    </row>
    <row r="44" spans="2:16" x14ac:dyDescent="0.2">
      <c r="B44" s="108"/>
      <c r="C44" s="108"/>
      <c r="D44" s="108"/>
      <c r="E44" s="108"/>
      <c r="F44" s="108"/>
      <c r="G44" s="108"/>
      <c r="H44" s="108"/>
      <c r="I44" s="108"/>
      <c r="J44" s="108"/>
      <c r="K44" s="108"/>
      <c r="L44" s="108"/>
    </row>
    <row r="45" spans="2:16" x14ac:dyDescent="0.2">
      <c r="B45" s="108"/>
      <c r="C45" s="108"/>
      <c r="D45" s="108"/>
      <c r="E45" s="108"/>
      <c r="F45" s="108"/>
      <c r="G45" s="108"/>
      <c r="H45" s="108"/>
      <c r="I45" s="108"/>
      <c r="J45" s="108"/>
      <c r="K45" s="108"/>
      <c r="L45" s="108"/>
    </row>
    <row r="46" spans="2:16" x14ac:dyDescent="0.2">
      <c r="B46" s="108"/>
      <c r="C46" s="108"/>
      <c r="D46" s="108"/>
      <c r="E46" s="108"/>
      <c r="F46" s="108"/>
      <c r="G46" s="108"/>
      <c r="H46" s="108"/>
      <c r="I46" s="108"/>
      <c r="J46" s="108"/>
      <c r="K46" s="108"/>
      <c r="L46" s="108"/>
    </row>
    <row r="47" spans="2:16" x14ac:dyDescent="0.2">
      <c r="B47" s="108"/>
      <c r="C47" s="108"/>
      <c r="D47" s="108"/>
      <c r="E47" s="108"/>
      <c r="F47" s="108"/>
      <c r="G47" s="108"/>
      <c r="H47" s="108"/>
      <c r="I47" s="108"/>
      <c r="J47" s="108"/>
      <c r="K47" s="108"/>
      <c r="L47" s="108"/>
    </row>
    <row r="48" spans="2:16" x14ac:dyDescent="0.2">
      <c r="B48" s="108"/>
      <c r="C48" s="108"/>
      <c r="D48" s="108"/>
      <c r="E48" s="108"/>
      <c r="F48" s="108"/>
      <c r="G48" s="108"/>
      <c r="H48" s="108"/>
      <c r="I48" s="108"/>
      <c r="J48" s="108"/>
      <c r="K48" s="108"/>
      <c r="L48" s="108"/>
      <c r="M48" s="99"/>
      <c r="N48" s="99"/>
      <c r="P48" s="100"/>
    </row>
    <row r="49" spans="2:16" x14ac:dyDescent="0.2">
      <c r="B49" s="108"/>
      <c r="C49" s="108"/>
      <c r="D49" s="108"/>
      <c r="E49" s="108"/>
      <c r="F49" s="108"/>
      <c r="G49" s="108"/>
      <c r="H49" s="108"/>
      <c r="I49" s="108"/>
      <c r="J49" s="108"/>
      <c r="K49" s="108"/>
      <c r="L49" s="108"/>
    </row>
    <row r="50" spans="2:16" x14ac:dyDescent="0.2">
      <c r="B50" s="108"/>
      <c r="C50" s="108"/>
      <c r="D50" s="108"/>
      <c r="E50" s="108"/>
      <c r="F50" s="108"/>
      <c r="G50" s="108"/>
      <c r="H50" s="108"/>
      <c r="I50" s="108"/>
      <c r="J50" s="108"/>
      <c r="K50" s="108"/>
      <c r="L50" s="108"/>
      <c r="M50" s="99"/>
      <c r="N50" s="99"/>
      <c r="P50" s="100"/>
    </row>
    <row r="51" spans="2:16" x14ac:dyDescent="0.2">
      <c r="B51" s="108"/>
      <c r="C51" s="108"/>
      <c r="D51" s="108"/>
      <c r="E51" s="108"/>
      <c r="F51" s="108"/>
      <c r="G51" s="108"/>
      <c r="H51" s="108"/>
      <c r="I51" s="108"/>
      <c r="J51" s="108"/>
      <c r="K51" s="108"/>
      <c r="L51" s="108"/>
    </row>
    <row r="52" spans="2:16" x14ac:dyDescent="0.2">
      <c r="B52" s="108"/>
      <c r="C52" s="108"/>
      <c r="D52" s="108"/>
      <c r="E52" s="108"/>
      <c r="F52" s="108"/>
      <c r="G52" s="108"/>
      <c r="H52" s="108"/>
      <c r="I52" s="108"/>
      <c r="J52" s="108"/>
      <c r="K52" s="108"/>
      <c r="L52" s="108"/>
    </row>
    <row r="53" spans="2:16" x14ac:dyDescent="0.2">
      <c r="B53" s="108"/>
      <c r="C53" s="108"/>
      <c r="D53" s="108"/>
      <c r="E53" s="108"/>
      <c r="F53" s="108"/>
      <c r="G53" s="108"/>
      <c r="H53" s="108"/>
      <c r="I53" s="108"/>
      <c r="J53" s="108"/>
      <c r="K53" s="108"/>
      <c r="L53" s="108"/>
      <c r="M53" s="99"/>
      <c r="N53" s="99"/>
      <c r="P53" s="100"/>
    </row>
    <row r="54" spans="2:16" x14ac:dyDescent="0.2">
      <c r="G54" s="99"/>
      <c r="I54" s="100"/>
      <c r="J54" s="99"/>
    </row>
    <row r="55" spans="2:16" x14ac:dyDescent="0.2">
      <c r="G55" s="99"/>
      <c r="I55" s="100"/>
      <c r="J55" s="99"/>
    </row>
    <row r="56" spans="2:16" x14ac:dyDescent="0.2">
      <c r="G56" s="99"/>
      <c r="I56" s="100"/>
      <c r="J56" s="99"/>
      <c r="L56" s="99"/>
      <c r="M56" s="99"/>
      <c r="N56" s="99"/>
      <c r="P56" s="100"/>
    </row>
    <row r="57" spans="2:16" x14ac:dyDescent="0.2">
      <c r="G57" s="99"/>
      <c r="I57" s="100"/>
      <c r="J57" s="99"/>
    </row>
    <row r="58" spans="2:16" x14ac:dyDescent="0.2">
      <c r="G58" s="99"/>
      <c r="I58" s="100"/>
      <c r="J58" s="99"/>
    </row>
    <row r="59" spans="2:16" x14ac:dyDescent="0.2">
      <c r="G59" s="99"/>
      <c r="I59" s="100"/>
      <c r="J59" s="99"/>
      <c r="L59" s="99"/>
      <c r="M59" s="99"/>
      <c r="N59" s="99"/>
      <c r="P59" s="100"/>
    </row>
    <row r="60" spans="2:16" x14ac:dyDescent="0.2">
      <c r="G60" s="99"/>
      <c r="I60" s="100"/>
      <c r="J60" s="99"/>
    </row>
    <row r="61" spans="2:16" x14ac:dyDescent="0.2">
      <c r="G61" s="99"/>
      <c r="I61" s="100"/>
      <c r="J61" s="99"/>
    </row>
    <row r="62" spans="2:16" x14ac:dyDescent="0.2">
      <c r="G62" s="99"/>
      <c r="I62" s="100"/>
      <c r="J62" s="99"/>
    </row>
    <row r="63" spans="2:16" x14ac:dyDescent="0.2">
      <c r="G63" s="99"/>
      <c r="I63" s="100"/>
      <c r="J63" s="99"/>
    </row>
    <row r="64" spans="2:16" x14ac:dyDescent="0.2">
      <c r="G64" s="99"/>
      <c r="I64" s="100"/>
      <c r="J64" s="99"/>
    </row>
  </sheetData>
  <mergeCells count="6">
    <mergeCell ref="B24:L41"/>
    <mergeCell ref="A5:M6"/>
    <mergeCell ref="A12:M12"/>
    <mergeCell ref="B14:L20"/>
    <mergeCell ref="P14:Z18"/>
    <mergeCell ref="A22:M22"/>
  </mergeCells>
  <hyperlinks>
    <hyperlink ref="D8" r:id="rId1" xr:uid="{131F4161-D3C9-B443-A514-FC27C67AD19F}"/>
    <hyperlink ref="D9" r:id="rId2" xr:uid="{E4BA008D-58F0-5A40-B6A1-3BFF564E42EF}"/>
    <hyperlink ref="I8" r:id="rId3" xr:uid="{664439D2-BE23-DA4F-BFC4-7E008A52A51F}"/>
    <hyperlink ref="I9" r:id="rId4" xr:uid="{98341650-367E-7246-89D6-73DE952B79F1}"/>
  </hyperlinks>
  <pageMargins left="0.7" right="0.7" top="0.75" bottom="0.75" header="0.3" footer="0.3"/>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01C04E-480D-7D46-A1C8-79478CA0AEAC}">
  <sheetPr codeName="Sheet1"/>
  <dimension ref="B1:AB163"/>
  <sheetViews>
    <sheetView zoomScaleNormal="100" workbookViewId="0"/>
  </sheetViews>
  <sheetFormatPr baseColWidth="10" defaultRowHeight="16" x14ac:dyDescent="0.2"/>
  <cols>
    <col min="1" max="1" width="6.1640625" customWidth="1"/>
    <col min="2" max="2" width="10" customWidth="1"/>
    <col min="3" max="3" width="27.5" bestFit="1" customWidth="1"/>
    <col min="4" max="4" width="14.5" bestFit="1" customWidth="1"/>
    <col min="5" max="5" width="12" bestFit="1" customWidth="1"/>
    <col min="6" max="8" width="13.5" customWidth="1"/>
    <col min="9" max="9" width="12" bestFit="1" customWidth="1"/>
    <col min="10" max="10" width="9.83203125" customWidth="1"/>
    <col min="11" max="11" width="13.33203125" customWidth="1"/>
    <col min="12" max="12" width="11.83203125" customWidth="1"/>
    <col min="13" max="13" width="11.33203125" bestFit="1" customWidth="1"/>
    <col min="16" max="16" width="13" bestFit="1" customWidth="1"/>
    <col min="20" max="20" width="8.83203125" customWidth="1"/>
  </cols>
  <sheetData>
    <row r="1" spans="2:28" ht="17" thickBot="1" x14ac:dyDescent="0.25">
      <c r="L1" s="1"/>
      <c r="AB1" s="3">
        <f ca="1">TODAY()</f>
        <v>45915</v>
      </c>
    </row>
    <row r="2" spans="2:28" ht="25" thickBot="1" x14ac:dyDescent="0.35">
      <c r="B2" s="118" t="s">
        <v>32</v>
      </c>
      <c r="C2" s="119"/>
      <c r="D2" s="120"/>
      <c r="E2" s="78"/>
      <c r="F2" s="78"/>
      <c r="G2" s="78"/>
      <c r="H2" s="78"/>
      <c r="I2" s="42"/>
      <c r="J2" s="42"/>
      <c r="K2" s="42"/>
      <c r="L2" s="42"/>
      <c r="M2" s="42"/>
      <c r="N2" s="42"/>
      <c r="O2" s="42"/>
      <c r="P2" s="43"/>
    </row>
    <row r="3" spans="2:28" x14ac:dyDescent="0.2">
      <c r="B3" s="115" t="s">
        <v>36</v>
      </c>
      <c r="C3" s="26" t="s">
        <v>0</v>
      </c>
      <c r="D3" s="30" t="s">
        <v>62</v>
      </c>
      <c r="E3" s="38"/>
      <c r="F3" s="38"/>
      <c r="G3" s="38"/>
      <c r="H3" s="40"/>
      <c r="I3" s="40"/>
      <c r="J3" s="40"/>
      <c r="K3" s="38"/>
      <c r="L3" s="38"/>
      <c r="M3" s="38"/>
      <c r="N3" s="38"/>
      <c r="O3" s="38"/>
      <c r="P3" s="45"/>
    </row>
    <row r="4" spans="2:28" x14ac:dyDescent="0.2">
      <c r="B4" s="116"/>
      <c r="C4" s="27" t="s">
        <v>9</v>
      </c>
      <c r="D4" s="31" t="s">
        <v>63</v>
      </c>
      <c r="E4" s="38"/>
      <c r="F4" s="38"/>
      <c r="G4" s="38"/>
      <c r="H4" s="38"/>
      <c r="I4" s="38"/>
      <c r="J4" s="38"/>
      <c r="K4" s="38"/>
      <c r="L4" s="38"/>
      <c r="M4" s="38"/>
      <c r="N4" s="38"/>
      <c r="O4" s="38"/>
      <c r="P4" s="45"/>
    </row>
    <row r="5" spans="2:28" x14ac:dyDescent="0.2">
      <c r="B5" s="116"/>
      <c r="C5" s="27" t="s">
        <v>4</v>
      </c>
      <c r="D5" s="32">
        <v>220</v>
      </c>
      <c r="E5" s="38"/>
      <c r="F5" s="38"/>
      <c r="G5" s="38"/>
      <c r="H5" s="38"/>
      <c r="I5" s="38"/>
      <c r="J5" s="38"/>
      <c r="K5" s="38"/>
      <c r="L5" s="38"/>
      <c r="M5" s="38"/>
      <c r="N5" s="38"/>
      <c r="O5" s="38"/>
      <c r="P5" s="45"/>
    </row>
    <row r="6" spans="2:28" x14ac:dyDescent="0.2">
      <c r="B6" s="116"/>
      <c r="C6" s="27" t="s">
        <v>2</v>
      </c>
      <c r="D6" s="33">
        <v>45919</v>
      </c>
      <c r="E6" s="38"/>
      <c r="F6" s="38"/>
      <c r="G6" s="38"/>
      <c r="H6" s="41"/>
      <c r="I6" s="38"/>
      <c r="J6" s="38"/>
      <c r="K6" s="38"/>
      <c r="L6" s="38"/>
      <c r="M6" s="38"/>
      <c r="N6" s="38"/>
      <c r="O6" s="38"/>
      <c r="P6" s="45"/>
    </row>
    <row r="7" spans="2:28" ht="17" x14ac:dyDescent="0.2">
      <c r="B7" s="116"/>
      <c r="C7" s="28" t="s">
        <v>41</v>
      </c>
      <c r="D7" s="32">
        <v>3.1</v>
      </c>
      <c r="E7" s="38"/>
      <c r="F7" s="38"/>
      <c r="G7" s="38"/>
      <c r="H7" s="38"/>
      <c r="I7" s="38"/>
      <c r="J7" s="38"/>
      <c r="K7" s="38"/>
      <c r="L7" s="38"/>
      <c r="M7" s="38"/>
      <c r="N7" s="38"/>
      <c r="O7" s="38"/>
      <c r="P7" s="45"/>
    </row>
    <row r="8" spans="2:28" ht="33" thickBot="1" x14ac:dyDescent="0.25">
      <c r="B8" s="117"/>
      <c r="C8" s="29" t="s">
        <v>26</v>
      </c>
      <c r="D8" s="34">
        <v>45947</v>
      </c>
      <c r="E8" s="38"/>
      <c r="F8" s="38"/>
      <c r="G8" s="38"/>
      <c r="H8" s="38"/>
      <c r="I8" s="38"/>
      <c r="J8" s="38"/>
      <c r="K8" s="38"/>
      <c r="L8" s="38"/>
      <c r="M8" s="38"/>
      <c r="N8" s="38"/>
      <c r="O8" s="38"/>
      <c r="P8" s="45"/>
    </row>
    <row r="9" spans="2:28" ht="17" thickBot="1" x14ac:dyDescent="0.25">
      <c r="B9" s="44"/>
      <c r="C9" s="40"/>
      <c r="D9" s="40"/>
      <c r="E9" s="40"/>
      <c r="F9" s="40"/>
      <c r="G9" s="40"/>
      <c r="H9" s="40"/>
      <c r="I9" s="40"/>
      <c r="J9" s="40"/>
      <c r="K9" s="40"/>
      <c r="L9" s="38"/>
      <c r="M9" s="38"/>
      <c r="N9" s="38"/>
      <c r="O9" s="38"/>
      <c r="P9" s="45"/>
    </row>
    <row r="10" spans="2:28" ht="25" thickBot="1" x14ac:dyDescent="0.35">
      <c r="B10" s="44"/>
      <c r="C10" s="38"/>
      <c r="D10" s="41"/>
      <c r="E10" s="127" t="s">
        <v>33</v>
      </c>
      <c r="F10" s="123"/>
      <c r="G10" s="123"/>
      <c r="H10" s="123"/>
      <c r="I10" s="123"/>
      <c r="J10" s="123"/>
      <c r="K10" s="123"/>
      <c r="L10" s="123"/>
      <c r="M10" s="123"/>
      <c r="N10" s="123"/>
      <c r="O10" s="123"/>
      <c r="P10" s="124"/>
    </row>
    <row r="11" spans="2:28" ht="17" thickBot="1" x14ac:dyDescent="0.25">
      <c r="B11" s="44"/>
      <c r="C11" s="38"/>
      <c r="D11" s="38"/>
      <c r="E11" s="4" t="s">
        <v>1</v>
      </c>
      <c r="F11" s="5" t="s">
        <v>10</v>
      </c>
      <c r="G11" s="5" t="s">
        <v>5</v>
      </c>
      <c r="H11" s="5" t="s">
        <v>6</v>
      </c>
      <c r="I11" s="5" t="s">
        <v>13</v>
      </c>
      <c r="J11" s="5" t="s">
        <v>7</v>
      </c>
      <c r="K11" s="5" t="s">
        <v>8</v>
      </c>
      <c r="L11" s="5" t="s">
        <v>16</v>
      </c>
      <c r="M11" s="5" t="s">
        <v>14</v>
      </c>
      <c r="N11" s="5" t="s">
        <v>17</v>
      </c>
      <c r="O11" s="5" t="s">
        <v>18</v>
      </c>
      <c r="P11" s="6" t="s">
        <v>3</v>
      </c>
    </row>
    <row r="12" spans="2:28" ht="17" thickBot="1" x14ac:dyDescent="0.25">
      <c r="B12" s="46"/>
      <c r="C12" s="47"/>
      <c r="D12" s="47"/>
      <c r="E12" s="76" cm="1">
        <f t="array" ref="E12">_xldudf_OPTIONSAMURAI_STOCK(D3,"stock_last")</f>
        <v>234.07</v>
      </c>
      <c r="F12" s="37">
        <f>IF(D4="Long Call",  (I12 - D7)*100,
IF(D4="Short Call", (D7 - I12)*100,
IF(D4="Long Put",   (I12 - D7)*100,
IF(D4="Short Put",  (D7 - I12)*100,
""))))</f>
        <v>-290.5</v>
      </c>
      <c r="G12" s="37" cm="1">
        <f t="array" ref="G12:O12">_xldudf_OPTIONSAMURAI_OPTION(D3, TRIM(RIGHT(D4,4)), YEAR(D6) &amp; "-" &amp; TEXT(MONTH(D6), "00") &amp; "-" &amp; TEXT(DAY(D6), "00"), D5, "bid", "ask", "mid", "delta","theta","vega","iv","extrinsic_value","intrinsic_value")</f>
        <v>0.19</v>
      </c>
      <c r="H12" s="37">
        <v>0.2</v>
      </c>
      <c r="I12" s="37">
        <v>0.19500000000000001</v>
      </c>
      <c r="J12" s="9">
        <v>-5.0616000000000001E-2</v>
      </c>
      <c r="K12" s="8">
        <v>-6.6434999999999994E-2</v>
      </c>
      <c r="L12" s="8">
        <v>3.3690999999999999E-2</v>
      </c>
      <c r="M12" s="8">
        <v>0.28031699999999998</v>
      </c>
      <c r="N12" s="8">
        <v>0.19500000000000001</v>
      </c>
      <c r="O12" s="8">
        <v>0</v>
      </c>
      <c r="P12" s="77">
        <f ca="1">D6-TODAY()</f>
        <v>4</v>
      </c>
    </row>
    <row r="14" spans="2:28" ht="17" thickBot="1" x14ac:dyDescent="0.25"/>
    <row r="15" spans="2:28" ht="25" thickBot="1" x14ac:dyDescent="0.35">
      <c r="B15" s="121" t="s">
        <v>34</v>
      </c>
      <c r="C15" s="122"/>
      <c r="D15" s="122"/>
      <c r="E15" s="122"/>
      <c r="F15" s="122"/>
      <c r="G15" s="122"/>
      <c r="H15" s="122"/>
      <c r="I15" s="122"/>
      <c r="J15" s="122"/>
      <c r="K15" s="122"/>
      <c r="L15" s="122"/>
      <c r="M15" s="122"/>
      <c r="N15" s="122"/>
      <c r="O15" s="122"/>
      <c r="P15" s="122"/>
      <c r="Q15" s="123"/>
      <c r="R15" s="123"/>
      <c r="S15" s="124"/>
    </row>
    <row r="16" spans="2:28" ht="32" thickBot="1" x14ac:dyDescent="0.4">
      <c r="B16" s="44"/>
      <c r="C16" s="38"/>
      <c r="D16" s="45"/>
      <c r="E16" s="49" t="str">
        <f>IF(RIGHT(D4,4)="Call","Future calls","Future puts")</f>
        <v>Future puts</v>
      </c>
      <c r="F16" s="50"/>
      <c r="G16" s="50"/>
      <c r="H16" s="51" t="s">
        <v>11</v>
      </c>
      <c r="I16" s="52">
        <f>D8</f>
        <v>45947</v>
      </c>
      <c r="J16" s="50"/>
      <c r="K16" s="51" t="str">
        <f>"IV rank - "&amp;LOWER(TRIM(RIGHT(D4,4)))&amp;"s"</f>
        <v>IV rank - puts</v>
      </c>
      <c r="L16" s="53" cm="1">
        <f t="array" ref="L16">_xldudf_OPTIONSAMURAI_OPTION($D$3, TRIM(RIGHT(D4,4)), YEAR($I$16) &amp; "-" &amp; TEXT(MONTH($I$16), "00") &amp; "-" &amp; TEXT(DAY($I$16), "00"), E18, LOWER(TRIM(RIGHT(D4,4)))&amp;"_iv_pr")</f>
        <v>0.20238100000000001</v>
      </c>
      <c r="M16" s="50"/>
      <c r="N16" s="50"/>
      <c r="O16" s="50"/>
      <c r="P16" s="50"/>
      <c r="Q16" s="54" t="s">
        <v>37</v>
      </c>
      <c r="R16" s="125" t="s">
        <v>64</v>
      </c>
      <c r="S16" s="126"/>
    </row>
    <row r="17" spans="2:19" ht="25" thickBot="1" x14ac:dyDescent="0.35">
      <c r="B17" s="48"/>
      <c r="C17" s="38"/>
      <c r="D17" s="38"/>
      <c r="E17" s="73" t="s">
        <v>12</v>
      </c>
      <c r="F17" s="74" t="s">
        <v>5</v>
      </c>
      <c r="G17" s="74" t="s">
        <v>6</v>
      </c>
      <c r="H17" s="74" t="s">
        <v>13</v>
      </c>
      <c r="I17" s="80" t="s">
        <v>15</v>
      </c>
      <c r="J17" s="74" t="s">
        <v>19</v>
      </c>
      <c r="K17" s="74" t="s">
        <v>20</v>
      </c>
      <c r="L17" s="74" t="s">
        <v>21</v>
      </c>
      <c r="M17" s="75" t="s">
        <v>22</v>
      </c>
      <c r="N17" s="74" t="s">
        <v>7</v>
      </c>
      <c r="O17" s="74" t="s">
        <v>8</v>
      </c>
      <c r="P17" s="74" t="s">
        <v>16</v>
      </c>
      <c r="Q17" s="74" t="s">
        <v>14</v>
      </c>
      <c r="R17" s="74" t="s">
        <v>17</v>
      </c>
      <c r="S17" s="75" t="s">
        <v>18</v>
      </c>
    </row>
    <row r="18" spans="2:19" ht="17" thickBot="1" x14ac:dyDescent="0.25">
      <c r="B18" s="44"/>
      <c r="C18" s="38"/>
      <c r="D18" s="39">
        <v>-10</v>
      </c>
      <c r="E18" s="55">
        <f>B70</f>
        <v>185</v>
      </c>
      <c r="F18" s="56">
        <f>C70</f>
        <v>0.22</v>
      </c>
      <c r="G18" s="56">
        <f t="shared" ref="G18:M18" si="0">D70</f>
        <v>0.24</v>
      </c>
      <c r="H18" s="56">
        <f t="shared" si="0"/>
        <v>0.23</v>
      </c>
      <c r="I18" s="57">
        <f t="shared" si="0"/>
        <v>8.6957000000000007E-2</v>
      </c>
      <c r="J18" s="57">
        <f t="shared" si="0"/>
        <v>0.99968699999999999</v>
      </c>
      <c r="K18" s="56">
        <f t="shared" si="0"/>
        <v>7448</v>
      </c>
      <c r="L18" s="56">
        <f t="shared" si="0"/>
        <v>29</v>
      </c>
      <c r="M18" s="57">
        <f t="shared" si="0"/>
        <v>3.8939999999999999E-3</v>
      </c>
      <c r="N18" s="81">
        <f>IF($R$16="Future trade only",K70,Q70)</f>
        <v>-2.9571E-2</v>
      </c>
      <c r="O18" s="70">
        <f t="shared" ref="O18:S33" si="1">IF($R$16="Future trade only",L70,R70)</f>
        <v>-4.6482999999999997E-2</v>
      </c>
      <c r="P18" s="70">
        <f t="shared" si="1"/>
        <v>-2.9370000000000021E-3</v>
      </c>
      <c r="Q18" s="70">
        <f t="shared" si="1"/>
        <v>-0.11127100000000001</v>
      </c>
      <c r="R18" s="64">
        <f t="shared" si="1"/>
        <v>-3.5000000000000003E-2</v>
      </c>
      <c r="S18" s="65">
        <f t="shared" si="1"/>
        <v>0</v>
      </c>
    </row>
    <row r="19" spans="2:19" ht="21" thickBot="1" x14ac:dyDescent="0.3">
      <c r="B19" s="115" t="s">
        <v>35</v>
      </c>
      <c r="C19" s="91" t="s">
        <v>31</v>
      </c>
      <c r="D19" s="39">
        <v>-9</v>
      </c>
      <c r="E19" s="58">
        <f t="shared" ref="E19:E37" si="2">B71</f>
        <v>190</v>
      </c>
      <c r="F19" s="59">
        <f t="shared" ref="F19:F37" si="3">C71</f>
        <v>0.28000000000000003</v>
      </c>
      <c r="G19" s="59">
        <f t="shared" ref="G19:G37" si="4">D71</f>
        <v>0.3</v>
      </c>
      <c r="H19" s="59">
        <f t="shared" ref="H19:H37" si="5">E71</f>
        <v>0.28999999999999998</v>
      </c>
      <c r="I19" s="60">
        <f t="shared" ref="I19:I37" si="6">F71</f>
        <v>6.8966E-2</v>
      </c>
      <c r="J19" s="60">
        <f t="shared" ref="J19:J37" si="7">G71</f>
        <v>0.99879700000000005</v>
      </c>
      <c r="K19" s="59">
        <f t="shared" ref="K19:K37" si="8">H71</f>
        <v>15911</v>
      </c>
      <c r="L19" s="59">
        <f t="shared" ref="L19:L37" si="9">I71</f>
        <v>196</v>
      </c>
      <c r="M19" s="60">
        <f t="shared" ref="M19:M37" si="10">J71</f>
        <v>1.2319E-2</v>
      </c>
      <c r="N19" s="82">
        <f t="shared" ref="N19:N37" si="11">IF($R$16="Future trade only",K71,Q71)</f>
        <v>-2.3286000000000001E-2</v>
      </c>
      <c r="O19" s="71">
        <f t="shared" si="1"/>
        <v>-4.3155999999999993E-2</v>
      </c>
      <c r="P19" s="71">
        <f t="shared" si="1"/>
        <v>-1.1930000000000003E-2</v>
      </c>
      <c r="Q19" s="71">
        <f t="shared" si="1"/>
        <v>-8.7618000000000029E-2</v>
      </c>
      <c r="R19" s="66">
        <f t="shared" si="1"/>
        <v>-9.4999999999999973E-2</v>
      </c>
      <c r="S19" s="67">
        <f t="shared" si="1"/>
        <v>0</v>
      </c>
    </row>
    <row r="20" spans="2:19" ht="25" thickBot="1" x14ac:dyDescent="0.35">
      <c r="B20" s="117"/>
      <c r="C20" s="35">
        <v>235</v>
      </c>
      <c r="D20" s="39">
        <v>-8</v>
      </c>
      <c r="E20" s="58">
        <f t="shared" si="2"/>
        <v>195</v>
      </c>
      <c r="F20" s="59">
        <f t="shared" si="3"/>
        <v>0.35</v>
      </c>
      <c r="G20" s="59">
        <f t="shared" si="4"/>
        <v>0.37</v>
      </c>
      <c r="H20" s="59">
        <f t="shared" si="5"/>
        <v>0.36</v>
      </c>
      <c r="I20" s="60">
        <f t="shared" si="6"/>
        <v>5.5556000000000001E-2</v>
      </c>
      <c r="J20" s="60">
        <f t="shared" si="7"/>
        <v>0.99608799999999997</v>
      </c>
      <c r="K20" s="59">
        <f t="shared" si="8"/>
        <v>8570</v>
      </c>
      <c r="L20" s="59">
        <f t="shared" si="9"/>
        <v>726</v>
      </c>
      <c r="M20" s="60">
        <f t="shared" si="10"/>
        <v>8.4713999999999998E-2</v>
      </c>
      <c r="N20" s="82">
        <f t="shared" si="11"/>
        <v>-1.5415999999999999E-2</v>
      </c>
      <c r="O20" s="71">
        <f t="shared" si="1"/>
        <v>-3.9788999999999991E-2</v>
      </c>
      <c r="P20" s="71">
        <f t="shared" si="1"/>
        <v>-2.2556E-2</v>
      </c>
      <c r="Q20" s="71">
        <f t="shared" si="1"/>
        <v>-6.2539000000000011E-2</v>
      </c>
      <c r="R20" s="66">
        <f t="shared" si="1"/>
        <v>-0.16499999999999998</v>
      </c>
      <c r="S20" s="67">
        <f t="shared" si="1"/>
        <v>0</v>
      </c>
    </row>
    <row r="21" spans="2:19" x14ac:dyDescent="0.2">
      <c r="B21" s="44"/>
      <c r="C21" s="38"/>
      <c r="D21" s="39">
        <v>-7</v>
      </c>
      <c r="E21" s="58">
        <f t="shared" si="2"/>
        <v>200</v>
      </c>
      <c r="F21" s="59">
        <f t="shared" si="3"/>
        <v>0.46</v>
      </c>
      <c r="G21" s="59">
        <f t="shared" si="4"/>
        <v>0.49</v>
      </c>
      <c r="H21" s="59">
        <f t="shared" si="5"/>
        <v>0.47499999999999998</v>
      </c>
      <c r="I21" s="60">
        <f t="shared" si="6"/>
        <v>6.3158000000000006E-2</v>
      </c>
      <c r="J21" s="60">
        <f t="shared" si="7"/>
        <v>0.989093</v>
      </c>
      <c r="K21" s="59">
        <f t="shared" si="8"/>
        <v>18924</v>
      </c>
      <c r="L21" s="59">
        <f t="shared" si="9"/>
        <v>240</v>
      </c>
      <c r="M21" s="60">
        <f t="shared" si="10"/>
        <v>1.2682000000000001E-2</v>
      </c>
      <c r="N21" s="82">
        <f t="shared" si="11"/>
        <v>-3.1650000000000011E-3</v>
      </c>
      <c r="O21" s="71">
        <f t="shared" si="1"/>
        <v>-3.4778999999999997E-2</v>
      </c>
      <c r="P21" s="71">
        <f t="shared" si="1"/>
        <v>-3.7973000000000007E-2</v>
      </c>
      <c r="Q21" s="71">
        <f t="shared" si="1"/>
        <v>-4.0812000000000015E-2</v>
      </c>
      <c r="R21" s="66">
        <f t="shared" si="1"/>
        <v>-0.27999999999999997</v>
      </c>
      <c r="S21" s="67">
        <f t="shared" si="1"/>
        <v>0</v>
      </c>
    </row>
    <row r="22" spans="2:19" x14ac:dyDescent="0.2">
      <c r="B22" s="44"/>
      <c r="C22" s="38"/>
      <c r="D22" s="39">
        <v>-6</v>
      </c>
      <c r="E22" s="58">
        <f t="shared" si="2"/>
        <v>205</v>
      </c>
      <c r="F22" s="59">
        <f t="shared" si="3"/>
        <v>0.62</v>
      </c>
      <c r="G22" s="59">
        <f t="shared" si="4"/>
        <v>0.64</v>
      </c>
      <c r="H22" s="59">
        <f t="shared" si="5"/>
        <v>0.63</v>
      </c>
      <c r="I22" s="60">
        <f t="shared" si="6"/>
        <v>3.1746000000000003E-2</v>
      </c>
      <c r="J22" s="60">
        <f t="shared" si="7"/>
        <v>0.97360800000000003</v>
      </c>
      <c r="K22" s="59">
        <f t="shared" si="8"/>
        <v>12068</v>
      </c>
      <c r="L22" s="59">
        <f t="shared" si="9"/>
        <v>866</v>
      </c>
      <c r="M22" s="60">
        <f t="shared" si="10"/>
        <v>7.1760000000000004E-2</v>
      </c>
      <c r="N22" s="82">
        <f t="shared" si="11"/>
        <v>1.3712999999999996E-2</v>
      </c>
      <c r="O22" s="71">
        <f t="shared" si="1"/>
        <v>-2.9157999999999996E-2</v>
      </c>
      <c r="P22" s="71">
        <f t="shared" si="1"/>
        <v>-5.7438000000000003E-2</v>
      </c>
      <c r="Q22" s="71">
        <f t="shared" si="1"/>
        <v>-1.8759999999999999E-2</v>
      </c>
      <c r="R22" s="66">
        <f t="shared" si="1"/>
        <v>-0.435</v>
      </c>
      <c r="S22" s="67">
        <f t="shared" si="1"/>
        <v>0</v>
      </c>
    </row>
    <row r="23" spans="2:19" ht="17" thickBot="1" x14ac:dyDescent="0.25">
      <c r="B23" s="44"/>
      <c r="C23" s="38"/>
      <c r="D23" s="39">
        <v>-5</v>
      </c>
      <c r="E23" s="58">
        <f t="shared" si="2"/>
        <v>210</v>
      </c>
      <c r="F23" s="59">
        <f t="shared" si="3"/>
        <v>0.87</v>
      </c>
      <c r="G23" s="59">
        <f t="shared" si="4"/>
        <v>0.89</v>
      </c>
      <c r="H23" s="59">
        <f t="shared" si="5"/>
        <v>0.88</v>
      </c>
      <c r="I23" s="60">
        <f t="shared" si="6"/>
        <v>2.2727000000000001E-2</v>
      </c>
      <c r="J23" s="60">
        <f t="shared" si="7"/>
        <v>0.94389699999999999</v>
      </c>
      <c r="K23" s="59">
        <f t="shared" si="8"/>
        <v>28682</v>
      </c>
      <c r="L23" s="59">
        <f t="shared" si="9"/>
        <v>864</v>
      </c>
      <c r="M23" s="60">
        <f t="shared" si="10"/>
        <v>3.0123E-2</v>
      </c>
      <c r="N23" s="82">
        <f t="shared" si="11"/>
        <v>3.9633999999999996E-2</v>
      </c>
      <c r="O23" s="71">
        <f t="shared" si="1"/>
        <v>-2.1621999999999995E-2</v>
      </c>
      <c r="P23" s="71">
        <f t="shared" si="1"/>
        <v>-8.4209000000000006E-2</v>
      </c>
      <c r="Q23" s="71">
        <f t="shared" si="1"/>
        <v>4.109999999999947E-4</v>
      </c>
      <c r="R23" s="66">
        <f t="shared" si="1"/>
        <v>-0.68500000000000005</v>
      </c>
      <c r="S23" s="67">
        <f t="shared" si="1"/>
        <v>0</v>
      </c>
    </row>
    <row r="24" spans="2:19" ht="21" thickBot="1" x14ac:dyDescent="0.3">
      <c r="B24" s="44"/>
      <c r="C24" s="91" t="s">
        <v>29</v>
      </c>
      <c r="D24" s="39">
        <v>-4</v>
      </c>
      <c r="E24" s="58">
        <f t="shared" si="2"/>
        <v>215</v>
      </c>
      <c r="F24" s="59">
        <f t="shared" si="3"/>
        <v>1.26</v>
      </c>
      <c r="G24" s="59">
        <f t="shared" si="4"/>
        <v>1.29</v>
      </c>
      <c r="H24" s="59">
        <f t="shared" si="5"/>
        <v>1.2749999999999999</v>
      </c>
      <c r="I24" s="60">
        <f t="shared" si="6"/>
        <v>2.3529000000000001E-2</v>
      </c>
      <c r="J24" s="60">
        <f t="shared" si="7"/>
        <v>0.89402700000000002</v>
      </c>
      <c r="K24" s="59">
        <f t="shared" si="8"/>
        <v>16676</v>
      </c>
      <c r="L24" s="59">
        <f t="shared" si="9"/>
        <v>555</v>
      </c>
      <c r="M24" s="60">
        <f t="shared" si="10"/>
        <v>3.3280999999999998E-2</v>
      </c>
      <c r="N24" s="82">
        <f t="shared" si="11"/>
        <v>7.8459000000000001E-2</v>
      </c>
      <c r="O24" s="71">
        <f t="shared" si="1"/>
        <v>-1.2471999999999997E-2</v>
      </c>
      <c r="P24" s="71">
        <f t="shared" si="1"/>
        <v>-0.11882400000000001</v>
      </c>
      <c r="Q24" s="71">
        <f t="shared" si="1"/>
        <v>1.7295999999999978E-2</v>
      </c>
      <c r="R24" s="66">
        <f t="shared" si="1"/>
        <v>-1.0799999999999998</v>
      </c>
      <c r="S24" s="67">
        <f t="shared" si="1"/>
        <v>0</v>
      </c>
    </row>
    <row r="25" spans="2:19" ht="25" thickBot="1" x14ac:dyDescent="0.35">
      <c r="B25" s="44"/>
      <c r="C25" s="36">
        <f>K94</f>
        <v>216.9</v>
      </c>
      <c r="D25" s="39">
        <v>-3</v>
      </c>
      <c r="E25" s="58">
        <f t="shared" si="2"/>
        <v>220</v>
      </c>
      <c r="F25" s="59">
        <f t="shared" si="3"/>
        <v>1.88</v>
      </c>
      <c r="G25" s="59">
        <f t="shared" si="4"/>
        <v>1.93</v>
      </c>
      <c r="H25" s="59">
        <f t="shared" si="5"/>
        <v>1.905</v>
      </c>
      <c r="I25" s="60">
        <f t="shared" si="6"/>
        <v>2.6246999999999999E-2</v>
      </c>
      <c r="J25" s="60">
        <f t="shared" si="7"/>
        <v>0.82014699999999996</v>
      </c>
      <c r="K25" s="59">
        <f t="shared" si="8"/>
        <v>19974</v>
      </c>
      <c r="L25" s="59">
        <f t="shared" si="9"/>
        <v>2154</v>
      </c>
      <c r="M25" s="60">
        <f t="shared" si="10"/>
        <v>0.10784000000000001</v>
      </c>
      <c r="N25" s="82">
        <f t="shared" si="11"/>
        <v>0.13552</v>
      </c>
      <c r="O25" s="71">
        <f t="shared" si="1"/>
        <v>-2.2620000000000001E-3</v>
      </c>
      <c r="P25" s="71">
        <f t="shared" si="1"/>
        <v>-0.160445</v>
      </c>
      <c r="Q25" s="71">
        <f t="shared" si="1"/>
        <v>3.1473999999999974E-2</v>
      </c>
      <c r="R25" s="66">
        <f t="shared" si="1"/>
        <v>-1.71</v>
      </c>
      <c r="S25" s="67">
        <f t="shared" si="1"/>
        <v>0</v>
      </c>
    </row>
    <row r="26" spans="2:19" x14ac:dyDescent="0.2">
      <c r="B26" s="44"/>
      <c r="C26" s="38"/>
      <c r="D26" s="39">
        <v>-2</v>
      </c>
      <c r="E26" s="58">
        <f t="shared" si="2"/>
        <v>225</v>
      </c>
      <c r="F26" s="59">
        <f t="shared" si="3"/>
        <v>2.86</v>
      </c>
      <c r="G26" s="59">
        <f t="shared" si="4"/>
        <v>2.91</v>
      </c>
      <c r="H26" s="59">
        <f t="shared" si="5"/>
        <v>2.8849999999999998</v>
      </c>
      <c r="I26" s="60">
        <f t="shared" si="6"/>
        <v>1.7330999999999999E-2</v>
      </c>
      <c r="J26" s="60">
        <f t="shared" si="7"/>
        <v>0.72276899999999999</v>
      </c>
      <c r="K26" s="59">
        <f t="shared" si="8"/>
        <v>7310</v>
      </c>
      <c r="L26" s="59">
        <f t="shared" si="9"/>
        <v>1938</v>
      </c>
      <c r="M26" s="60">
        <f t="shared" si="10"/>
        <v>0.26511600000000002</v>
      </c>
      <c r="N26" s="82">
        <f t="shared" si="11"/>
        <v>0.21498200000000001</v>
      </c>
      <c r="O26" s="71">
        <f t="shared" si="1"/>
        <v>7.1440000000000115E-3</v>
      </c>
      <c r="P26" s="71">
        <f t="shared" si="1"/>
        <v>-0.20389699999999999</v>
      </c>
      <c r="Q26" s="71">
        <f t="shared" si="1"/>
        <v>4.3086999999999986E-2</v>
      </c>
      <c r="R26" s="66">
        <f t="shared" si="1"/>
        <v>-2.69</v>
      </c>
      <c r="S26" s="67">
        <f t="shared" si="1"/>
        <v>0</v>
      </c>
    </row>
    <row r="27" spans="2:19" x14ac:dyDescent="0.2">
      <c r="B27" s="44"/>
      <c r="C27" s="38"/>
      <c r="D27" s="39">
        <v>-1</v>
      </c>
      <c r="E27" s="58">
        <f t="shared" si="2"/>
        <v>230</v>
      </c>
      <c r="F27" s="59">
        <f t="shared" si="3"/>
        <v>4.3</v>
      </c>
      <c r="G27" s="59">
        <f t="shared" si="4"/>
        <v>4.4000000000000004</v>
      </c>
      <c r="H27" s="59">
        <f t="shared" si="5"/>
        <v>4.3499999999999996</v>
      </c>
      <c r="I27" s="60">
        <f t="shared" si="6"/>
        <v>2.2988999999999999E-2</v>
      </c>
      <c r="J27" s="60">
        <f t="shared" si="7"/>
        <v>0.60772199999999998</v>
      </c>
      <c r="K27" s="59">
        <f t="shared" si="8"/>
        <v>11919</v>
      </c>
      <c r="L27" s="59">
        <f t="shared" si="9"/>
        <v>3125</v>
      </c>
      <c r="M27" s="60">
        <f t="shared" si="10"/>
        <v>0.26218599999999997</v>
      </c>
      <c r="N27" s="82">
        <f t="shared" si="11"/>
        <v>0.31742100000000001</v>
      </c>
      <c r="O27" s="71">
        <f t="shared" si="1"/>
        <v>1.2884000000000007E-2</v>
      </c>
      <c r="P27" s="71">
        <f t="shared" si="1"/>
        <v>-0.239395</v>
      </c>
      <c r="Q27" s="71">
        <f t="shared" si="1"/>
        <v>5.2205999999999975E-2</v>
      </c>
      <c r="R27" s="66">
        <f t="shared" si="1"/>
        <v>-4.1549999999999994</v>
      </c>
      <c r="S27" s="67">
        <f t="shared" si="1"/>
        <v>0</v>
      </c>
    </row>
    <row r="28" spans="2:19" ht="17" thickBot="1" x14ac:dyDescent="0.25">
      <c r="B28" s="44"/>
      <c r="C28" s="38"/>
      <c r="D28" s="39">
        <v>1</v>
      </c>
      <c r="E28" s="58">
        <f t="shared" si="2"/>
        <v>235</v>
      </c>
      <c r="F28" s="59">
        <f t="shared" si="3"/>
        <v>6.4</v>
      </c>
      <c r="G28" s="59">
        <f t="shared" si="4"/>
        <v>6.5</v>
      </c>
      <c r="H28" s="59">
        <f t="shared" si="5"/>
        <v>6.45</v>
      </c>
      <c r="I28" s="60">
        <f t="shared" si="6"/>
        <v>1.5504E-2</v>
      </c>
      <c r="J28" s="60">
        <f t="shared" si="7"/>
        <v>0.48505100000000001</v>
      </c>
      <c r="K28" s="59">
        <f t="shared" si="8"/>
        <v>4130</v>
      </c>
      <c r="L28" s="59">
        <f t="shared" si="9"/>
        <v>682</v>
      </c>
      <c r="M28" s="60">
        <f t="shared" si="10"/>
        <v>0.165133</v>
      </c>
      <c r="N28" s="82">
        <f t="shared" si="11"/>
        <v>0.43681500000000001</v>
      </c>
      <c r="O28" s="71">
        <f t="shared" si="1"/>
        <v>1.2432000000000012E-2</v>
      </c>
      <c r="P28" s="71">
        <f t="shared" si="1"/>
        <v>-0.25521199999999999</v>
      </c>
      <c r="Q28" s="71">
        <f t="shared" si="1"/>
        <v>5.7957999999999982E-2</v>
      </c>
      <c r="R28" s="66">
        <f t="shared" si="1"/>
        <v>-5.3249999999999993</v>
      </c>
      <c r="S28" s="67">
        <f t="shared" si="1"/>
        <v>-0.93</v>
      </c>
    </row>
    <row r="29" spans="2:19" ht="21" thickBot="1" x14ac:dyDescent="0.3">
      <c r="B29" s="44"/>
      <c r="C29" s="91" t="s">
        <v>30</v>
      </c>
      <c r="D29" s="39">
        <v>2</v>
      </c>
      <c r="E29" s="58">
        <f t="shared" si="2"/>
        <v>240</v>
      </c>
      <c r="F29" s="59">
        <f t="shared" si="3"/>
        <v>9.15</v>
      </c>
      <c r="G29" s="59">
        <f t="shared" si="4"/>
        <v>9.25</v>
      </c>
      <c r="H29" s="59">
        <f t="shared" si="5"/>
        <v>9.1999999999999993</v>
      </c>
      <c r="I29" s="60">
        <f t="shared" si="6"/>
        <v>1.0869999999999999E-2</v>
      </c>
      <c r="J29" s="60">
        <f t="shared" si="7"/>
        <v>0.36625000000000002</v>
      </c>
      <c r="K29" s="59">
        <f t="shared" si="8"/>
        <v>3431</v>
      </c>
      <c r="L29" s="59">
        <f t="shared" si="9"/>
        <v>978</v>
      </c>
      <c r="M29" s="60">
        <f t="shared" si="10"/>
        <v>0.28504800000000002</v>
      </c>
      <c r="N29" s="82">
        <f t="shared" si="11"/>
        <v>0.55999900000000002</v>
      </c>
      <c r="O29" s="71">
        <f t="shared" si="1"/>
        <v>3.8640000000000063E-3</v>
      </c>
      <c r="P29" s="71">
        <f t="shared" si="1"/>
        <v>-0.244173</v>
      </c>
      <c r="Q29" s="71">
        <f t="shared" si="1"/>
        <v>6.2129999999999991E-2</v>
      </c>
      <c r="R29" s="66">
        <f t="shared" si="1"/>
        <v>-3.0750000000000002</v>
      </c>
      <c r="S29" s="67">
        <f t="shared" si="1"/>
        <v>-5.93</v>
      </c>
    </row>
    <row r="30" spans="2:19" ht="25" thickBot="1" x14ac:dyDescent="0.35">
      <c r="B30" s="44"/>
      <c r="C30" s="36">
        <f>P94</f>
        <v>228.55</v>
      </c>
      <c r="D30" s="39">
        <v>3</v>
      </c>
      <c r="E30" s="58">
        <f t="shared" si="2"/>
        <v>245</v>
      </c>
      <c r="F30" s="59">
        <f t="shared" si="3"/>
        <v>12.4</v>
      </c>
      <c r="G30" s="59">
        <f t="shared" si="4"/>
        <v>13</v>
      </c>
      <c r="H30" s="59">
        <f t="shared" si="5"/>
        <v>12.7</v>
      </c>
      <c r="I30" s="60">
        <f t="shared" si="6"/>
        <v>4.7244000000000001E-2</v>
      </c>
      <c r="J30" s="60">
        <f t="shared" si="7"/>
        <v>0.26113599999999998</v>
      </c>
      <c r="K30" s="59">
        <f t="shared" si="8"/>
        <v>991</v>
      </c>
      <c r="L30" s="59">
        <f t="shared" si="9"/>
        <v>81</v>
      </c>
      <c r="M30" s="60">
        <f t="shared" si="10"/>
        <v>8.1736000000000003E-2</v>
      </c>
      <c r="N30" s="82">
        <f t="shared" si="11"/>
        <v>0.66822000000000004</v>
      </c>
      <c r="O30" s="71">
        <f t="shared" si="1"/>
        <v>-8.877999999999997E-3</v>
      </c>
      <c r="P30" s="71">
        <f t="shared" si="1"/>
        <v>-0.21069399999999999</v>
      </c>
      <c r="Q30" s="71">
        <f t="shared" si="1"/>
        <v>5.9823999999999988E-2</v>
      </c>
      <c r="R30" s="66">
        <f t="shared" si="1"/>
        <v>-1.575</v>
      </c>
      <c r="S30" s="67">
        <f t="shared" si="1"/>
        <v>-10.93</v>
      </c>
    </row>
    <row r="31" spans="2:19" x14ac:dyDescent="0.2">
      <c r="B31" s="44"/>
      <c r="C31" s="38"/>
      <c r="D31" s="39">
        <v>4</v>
      </c>
      <c r="E31" s="58">
        <f t="shared" si="2"/>
        <v>250</v>
      </c>
      <c r="F31" s="59">
        <f t="shared" si="3"/>
        <v>16.600000000000001</v>
      </c>
      <c r="G31" s="59">
        <f t="shared" si="4"/>
        <v>16.850000000000001</v>
      </c>
      <c r="H31" s="59">
        <f t="shared" si="5"/>
        <v>16.725000000000001</v>
      </c>
      <c r="I31" s="60">
        <f t="shared" si="6"/>
        <v>1.4947999999999999E-2</v>
      </c>
      <c r="J31" s="60">
        <f t="shared" si="7"/>
        <v>0.175701</v>
      </c>
      <c r="K31" s="59">
        <f t="shared" si="8"/>
        <v>834</v>
      </c>
      <c r="L31" s="59">
        <f t="shared" si="9"/>
        <v>90</v>
      </c>
      <c r="M31" s="60">
        <f t="shared" si="10"/>
        <v>0.107914</v>
      </c>
      <c r="N31" s="82">
        <f t="shared" si="11"/>
        <v>0.75242600000000004</v>
      </c>
      <c r="O31" s="71">
        <f t="shared" si="1"/>
        <v>-2.3546999999999992E-2</v>
      </c>
      <c r="P31" s="71">
        <f t="shared" si="1"/>
        <v>-0.16728399999999999</v>
      </c>
      <c r="Q31" s="71">
        <f t="shared" si="1"/>
        <v>5.4355999999999988E-2</v>
      </c>
      <c r="R31" s="66">
        <f t="shared" si="1"/>
        <v>-0.60000000000000009</v>
      </c>
      <c r="S31" s="67">
        <f t="shared" si="1"/>
        <v>-15.93</v>
      </c>
    </row>
    <row r="32" spans="2:19" ht="17" thickBot="1" x14ac:dyDescent="0.25">
      <c r="B32" s="44"/>
      <c r="C32" s="38"/>
      <c r="D32" s="39">
        <v>5</v>
      </c>
      <c r="E32" s="58">
        <f t="shared" si="2"/>
        <v>255</v>
      </c>
      <c r="F32" s="59">
        <f t="shared" si="3"/>
        <v>21.1</v>
      </c>
      <c r="G32" s="59">
        <f t="shared" si="4"/>
        <v>21.45</v>
      </c>
      <c r="H32" s="59">
        <f t="shared" si="5"/>
        <v>21.274999999999999</v>
      </c>
      <c r="I32" s="60">
        <f t="shared" si="6"/>
        <v>1.6451E-2</v>
      </c>
      <c r="J32" s="60">
        <f t="shared" si="7"/>
        <v>0.11158999999999999</v>
      </c>
      <c r="K32" s="59">
        <f t="shared" si="8"/>
        <v>36</v>
      </c>
      <c r="L32" s="59">
        <f t="shared" si="9"/>
        <v>11</v>
      </c>
      <c r="M32" s="60">
        <f t="shared" si="10"/>
        <v>0.30555599999999999</v>
      </c>
      <c r="N32" s="82">
        <f t="shared" si="11"/>
        <v>0.80168399999999995</v>
      </c>
      <c r="O32" s="71">
        <f t="shared" si="1"/>
        <v>-3.1880999999999993E-2</v>
      </c>
      <c r="P32" s="71">
        <f t="shared" si="1"/>
        <v>-0.13350500000000001</v>
      </c>
      <c r="Q32" s="71">
        <f t="shared" si="1"/>
        <v>3.6322999999999994E-2</v>
      </c>
      <c r="R32" s="66">
        <f t="shared" si="1"/>
        <v>-0.14999999999999997</v>
      </c>
      <c r="S32" s="67">
        <f t="shared" si="1"/>
        <v>-20.93</v>
      </c>
    </row>
    <row r="33" spans="2:19" ht="21" thickBot="1" x14ac:dyDescent="0.3">
      <c r="B33" s="44"/>
      <c r="C33" s="91" t="s">
        <v>45</v>
      </c>
      <c r="D33" s="39">
        <v>6</v>
      </c>
      <c r="E33" s="58">
        <f t="shared" si="2"/>
        <v>260</v>
      </c>
      <c r="F33" s="59">
        <f t="shared" si="3"/>
        <v>25.75</v>
      </c>
      <c r="G33" s="59">
        <f t="shared" si="4"/>
        <v>26.2</v>
      </c>
      <c r="H33" s="59">
        <f t="shared" si="5"/>
        <v>25.975000000000001</v>
      </c>
      <c r="I33" s="60">
        <f t="shared" si="6"/>
        <v>1.7323999999999999E-2</v>
      </c>
      <c r="J33" s="60">
        <f t="shared" si="7"/>
        <v>6.6962999999999995E-2</v>
      </c>
      <c r="K33" s="59">
        <f t="shared" si="8"/>
        <v>4</v>
      </c>
      <c r="L33" s="59">
        <f t="shared" si="9"/>
        <v>2</v>
      </c>
      <c r="M33" s="60">
        <f t="shared" si="10"/>
        <v>0.5</v>
      </c>
      <c r="N33" s="82">
        <f t="shared" si="11"/>
        <v>0.83523999999999998</v>
      </c>
      <c r="O33" s="71">
        <f t="shared" si="1"/>
        <v>-3.9005999999999999E-2</v>
      </c>
      <c r="P33" s="71">
        <f t="shared" si="1"/>
        <v>-0.10619700000000001</v>
      </c>
      <c r="Q33" s="71">
        <f t="shared" si="1"/>
        <v>1.7559999999999965E-2</v>
      </c>
      <c r="R33" s="66">
        <f t="shared" si="1"/>
        <v>0.15000000000000002</v>
      </c>
      <c r="S33" s="67">
        <f t="shared" si="1"/>
        <v>-25.93</v>
      </c>
    </row>
    <row r="34" spans="2:19" ht="25" thickBot="1" x14ac:dyDescent="0.35">
      <c r="B34" s="44"/>
      <c r="C34" s="36">
        <f>M121</f>
        <v>222.54</v>
      </c>
      <c r="D34" s="39">
        <v>7</v>
      </c>
      <c r="E34" s="58">
        <f t="shared" si="2"/>
        <v>265</v>
      </c>
      <c r="F34" s="59">
        <f t="shared" si="3"/>
        <v>30.45</v>
      </c>
      <c r="G34" s="59">
        <f t="shared" si="4"/>
        <v>31.2</v>
      </c>
      <c r="H34" s="59">
        <f t="shared" si="5"/>
        <v>30.824999999999999</v>
      </c>
      <c r="I34" s="60">
        <f t="shared" si="6"/>
        <v>2.4330999999999998E-2</v>
      </c>
      <c r="J34" s="60">
        <f t="shared" si="7"/>
        <v>3.8020999999999999E-2</v>
      </c>
      <c r="K34" s="59">
        <f t="shared" si="8"/>
        <v>3</v>
      </c>
      <c r="L34" s="59">
        <f t="shared" si="9"/>
        <v>2</v>
      </c>
      <c r="M34" s="60">
        <f t="shared" si="10"/>
        <v>0.66666700000000001</v>
      </c>
      <c r="N34" s="82">
        <f t="shared" si="11"/>
        <v>0.85449600000000003</v>
      </c>
      <c r="O34" s="71">
        <f t="shared" ref="O34:O37" si="12">IF($R$16="Future trade only",L86,R86)</f>
        <v>-4.2394999999999995E-2</v>
      </c>
      <c r="P34" s="71">
        <f t="shared" ref="P34:P37" si="13">IF($R$16="Future trade only",M86,S86)</f>
        <v>-8.8663000000000006E-2</v>
      </c>
      <c r="Q34" s="71">
        <f t="shared" ref="Q34:Q37" si="14">IF($R$16="Future trade only",N86,T86)</f>
        <v>-6.4790000000000125E-3</v>
      </c>
      <c r="R34" s="66">
        <f t="shared" ref="R34:R37" si="15">IF($R$16="Future trade only",O86,U86)</f>
        <v>0.3</v>
      </c>
      <c r="S34" s="67">
        <f t="shared" ref="S34:S37" si="16">IF($R$16="Future trade only",P86,V86)</f>
        <v>-30.93</v>
      </c>
    </row>
    <row r="35" spans="2:19" x14ac:dyDescent="0.2">
      <c r="B35" s="44"/>
      <c r="C35" s="38"/>
      <c r="D35" s="39">
        <v>8</v>
      </c>
      <c r="E35" s="58">
        <f t="shared" si="2"/>
        <v>270</v>
      </c>
      <c r="F35" s="59">
        <f t="shared" si="3"/>
        <v>35.6</v>
      </c>
      <c r="G35" s="59">
        <f t="shared" si="4"/>
        <v>36.200000000000003</v>
      </c>
      <c r="H35" s="59">
        <f t="shared" si="5"/>
        <v>35.9</v>
      </c>
      <c r="I35" s="60">
        <f t="shared" si="6"/>
        <v>1.6712999999999999E-2</v>
      </c>
      <c r="J35" s="60">
        <f t="shared" si="7"/>
        <v>2.0461E-2</v>
      </c>
      <c r="K35" s="59">
        <f t="shared" si="8"/>
        <v>1</v>
      </c>
      <c r="L35" s="59">
        <f t="shared" si="9"/>
        <v>0</v>
      </c>
      <c r="M35" s="60">
        <f t="shared" si="10"/>
        <v>0</v>
      </c>
      <c r="N35" s="82">
        <f t="shared" si="11"/>
        <v>0.85653299999999999</v>
      </c>
      <c r="O35" s="71">
        <f t="shared" si="12"/>
        <v>-3.6884999999999994E-2</v>
      </c>
      <c r="P35" s="71">
        <f t="shared" si="13"/>
        <v>-8.6718000000000003E-2</v>
      </c>
      <c r="Q35" s="71">
        <f t="shared" si="14"/>
        <v>-4.6594000000000024E-2</v>
      </c>
      <c r="R35" s="66">
        <f t="shared" si="15"/>
        <v>0.22500000000000001</v>
      </c>
      <c r="S35" s="67">
        <f t="shared" si="16"/>
        <v>-35.93</v>
      </c>
    </row>
    <row r="36" spans="2:19" x14ac:dyDescent="0.2">
      <c r="B36" s="44"/>
      <c r="C36" s="38"/>
      <c r="D36" s="39">
        <v>9</v>
      </c>
      <c r="E36" s="58">
        <f t="shared" si="2"/>
        <v>275</v>
      </c>
      <c r="F36" s="59">
        <f t="shared" si="3"/>
        <v>40.75</v>
      </c>
      <c r="G36" s="59">
        <f t="shared" si="4"/>
        <v>41.2</v>
      </c>
      <c r="H36" s="59">
        <f t="shared" si="5"/>
        <v>40.975000000000001</v>
      </c>
      <c r="I36" s="60">
        <f t="shared" si="6"/>
        <v>1.0982E-2</v>
      </c>
      <c r="J36" s="60">
        <f t="shared" si="7"/>
        <v>1.0456E-2</v>
      </c>
      <c r="K36" s="59">
        <f t="shared" si="8"/>
        <v>0</v>
      </c>
      <c r="L36" s="59">
        <f t="shared" si="9"/>
        <v>0</v>
      </c>
      <c r="M36" s="60" t="str">
        <f t="shared" si="10"/>
        <v>N/A</v>
      </c>
      <c r="N36" s="82">
        <f t="shared" si="11"/>
        <v>0.857908</v>
      </c>
      <c r="O36" s="71">
        <f t="shared" si="12"/>
        <v>-3.1391999999999996E-2</v>
      </c>
      <c r="P36" s="71">
        <f t="shared" si="13"/>
        <v>-8.5394999999999999E-2</v>
      </c>
      <c r="Q36" s="71">
        <f t="shared" si="14"/>
        <v>-8.5899000000000003E-2</v>
      </c>
      <c r="R36" s="66">
        <f t="shared" si="15"/>
        <v>0.15000000000000002</v>
      </c>
      <c r="S36" s="67">
        <f t="shared" si="16"/>
        <v>-40.93</v>
      </c>
    </row>
    <row r="37" spans="2:19" ht="17" thickBot="1" x14ac:dyDescent="0.25">
      <c r="B37" s="46"/>
      <c r="C37" s="47"/>
      <c r="D37" s="79">
        <v>10</v>
      </c>
      <c r="E37" s="61">
        <f t="shared" si="2"/>
        <v>280</v>
      </c>
      <c r="F37" s="62">
        <f t="shared" si="3"/>
        <v>45.6</v>
      </c>
      <c r="G37" s="62">
        <f t="shared" si="4"/>
        <v>46.2</v>
      </c>
      <c r="H37" s="62">
        <f t="shared" si="5"/>
        <v>45.9</v>
      </c>
      <c r="I37" s="63">
        <f t="shared" si="6"/>
        <v>1.3072E-2</v>
      </c>
      <c r="J37" s="63">
        <f t="shared" si="7"/>
        <v>5.0850000000000001E-3</v>
      </c>
      <c r="K37" s="62">
        <f t="shared" si="8"/>
        <v>0</v>
      </c>
      <c r="L37" s="62">
        <f t="shared" si="9"/>
        <v>0</v>
      </c>
      <c r="M37" s="63" t="str">
        <f t="shared" si="10"/>
        <v>N/A</v>
      </c>
      <c r="N37" s="83">
        <f t="shared" si="11"/>
        <v>0.86654600000000004</v>
      </c>
      <c r="O37" s="72">
        <f t="shared" si="12"/>
        <v>-3.2569999999999995E-2</v>
      </c>
      <c r="P37" s="72">
        <f t="shared" si="13"/>
        <v>-7.6892000000000002E-2</v>
      </c>
      <c r="Q37" s="72">
        <f t="shared" si="14"/>
        <v>-0.11133900000000002</v>
      </c>
      <c r="R37" s="68">
        <f t="shared" si="15"/>
        <v>0.22500000000000001</v>
      </c>
      <c r="S37" s="69">
        <f t="shared" si="16"/>
        <v>-45.93</v>
      </c>
    </row>
    <row r="39" spans="2:19" hidden="1" x14ac:dyDescent="0.2"/>
    <row r="40" spans="2:19" hidden="1" x14ac:dyDescent="0.2"/>
    <row r="41" spans="2:19" hidden="1" x14ac:dyDescent="0.2"/>
    <row r="42" spans="2:19" hidden="1" x14ac:dyDescent="0.2"/>
    <row r="43" spans="2:19" hidden="1" x14ac:dyDescent="0.2"/>
    <row r="44" spans="2:19" hidden="1" x14ac:dyDescent="0.2">
      <c r="B44" s="7"/>
    </row>
    <row r="45" spans="2:19" hidden="1" x14ac:dyDescent="0.2"/>
    <row r="46" spans="2:19" hidden="1" x14ac:dyDescent="0.2"/>
    <row r="47" spans="2:19" hidden="1" x14ac:dyDescent="0.2"/>
    <row r="48" spans="2:19" hidden="1" x14ac:dyDescent="0.2"/>
    <row r="49" hidden="1" x14ac:dyDescent="0.2"/>
    <row r="50" hidden="1" x14ac:dyDescent="0.2"/>
    <row r="51" hidden="1" x14ac:dyDescent="0.2"/>
    <row r="52" hidden="1" x14ac:dyDescent="0.2"/>
    <row r="53" hidden="1" x14ac:dyDescent="0.2"/>
    <row r="54" hidden="1" x14ac:dyDescent="0.2"/>
    <row r="55" hidden="1" x14ac:dyDescent="0.2"/>
    <row r="56" hidden="1" x14ac:dyDescent="0.2"/>
    <row r="57" hidden="1" x14ac:dyDescent="0.2"/>
    <row r="58" hidden="1" x14ac:dyDescent="0.2"/>
    <row r="59" hidden="1" x14ac:dyDescent="0.2"/>
    <row r="60" hidden="1" x14ac:dyDescent="0.2"/>
    <row r="61" hidden="1" x14ac:dyDescent="0.2"/>
    <row r="62" hidden="1" x14ac:dyDescent="0.2"/>
    <row r="63" hidden="1" x14ac:dyDescent="0.2"/>
    <row r="64" hidden="1" x14ac:dyDescent="0.2"/>
    <row r="65" spans="2:22" hidden="1" x14ac:dyDescent="0.2"/>
    <row r="66" spans="2:22" hidden="1" x14ac:dyDescent="0.2"/>
    <row r="67" spans="2:22" ht="17" hidden="1" thickBot="1" x14ac:dyDescent="0.25"/>
    <row r="68" spans="2:22" ht="25" hidden="1" customHeight="1" thickBot="1" x14ac:dyDescent="0.35">
      <c r="B68" t="s">
        <v>38</v>
      </c>
      <c r="K68" s="128" t="s">
        <v>39</v>
      </c>
      <c r="L68" s="129"/>
      <c r="M68" s="129"/>
      <c r="N68" s="129"/>
      <c r="O68" s="129"/>
      <c r="P68" s="130"/>
      <c r="Q68" s="128" t="s">
        <v>40</v>
      </c>
      <c r="R68" s="129"/>
      <c r="S68" s="129"/>
      <c r="T68" s="129"/>
      <c r="U68" s="129"/>
      <c r="V68" s="130"/>
    </row>
    <row r="69" spans="2:22" ht="17" hidden="1" thickBot="1" x14ac:dyDescent="0.25">
      <c r="B69" s="84" t="str">
        <f>E17</f>
        <v>Strike prices</v>
      </c>
      <c r="C69" s="85" t="str">
        <f t="shared" ref="C69:J69" si="17">F17</f>
        <v>Bid</v>
      </c>
      <c r="D69" s="85" t="str">
        <f t="shared" si="17"/>
        <v>Ask</v>
      </c>
      <c r="E69" s="85" t="str">
        <f t="shared" si="17"/>
        <v>Mid</v>
      </c>
      <c r="F69" s="85" t="str">
        <f t="shared" si="17"/>
        <v>Spread</v>
      </c>
      <c r="G69" s="85" t="str">
        <f t="shared" si="17"/>
        <v>Prob. OTM</v>
      </c>
      <c r="H69" s="85" t="str">
        <f t="shared" si="17"/>
        <v>OI</v>
      </c>
      <c r="I69" s="85" t="str">
        <f t="shared" si="17"/>
        <v>Volume</v>
      </c>
      <c r="J69" s="86" t="str">
        <f t="shared" si="17"/>
        <v>Vol. Power</v>
      </c>
      <c r="K69" s="84" t="s">
        <v>7</v>
      </c>
      <c r="L69" s="85" t="s">
        <v>8</v>
      </c>
      <c r="M69" s="85" t="s">
        <v>16</v>
      </c>
      <c r="N69" s="85" t="s">
        <v>14</v>
      </c>
      <c r="O69" s="85" t="s">
        <v>17</v>
      </c>
      <c r="P69" s="86" t="s">
        <v>18</v>
      </c>
      <c r="Q69" s="84" t="s">
        <v>7</v>
      </c>
      <c r="R69" s="85" t="s">
        <v>8</v>
      </c>
      <c r="S69" s="85" t="s">
        <v>16</v>
      </c>
      <c r="T69" s="85" t="s">
        <v>14</v>
      </c>
      <c r="U69" s="85" t="s">
        <v>17</v>
      </c>
      <c r="V69" s="86" t="s">
        <v>18</v>
      </c>
    </row>
    <row r="70" spans="2:22" hidden="1" x14ac:dyDescent="0.2">
      <c r="B70" s="58" cm="1">
        <f t="array" ref="B70">_xldudf_OPTIONSAMURAI_OPTION(D3,TRIM(RIGHT(D4,4)), YEAR($I$16) &amp; "-" &amp; TEXT(MONTH($I$16), "00") &amp; "-" &amp; TEXT(DAY($I$16), "00"), "-10N", "strike")</f>
        <v>185</v>
      </c>
      <c r="C70" s="55" cm="1">
        <f t="array" ref="C70:J70">_xldudf_OPTIONSAMURAI_OPTION($D$3, TRIM(RIGHT($D$4,4)), YEAR($I$16) &amp; "-" &amp; TEXT(MONTH($I$16), "00") &amp; "-" &amp; TEXT(DAY($I$16), "00"), E18, "bid", "ask", "mid","bid_ask_spread_pc","prob_otm","open_interest","volume","option_volume_power")</f>
        <v>0.22</v>
      </c>
      <c r="D70" s="56">
        <v>0.24</v>
      </c>
      <c r="E70" s="56">
        <v>0.23</v>
      </c>
      <c r="F70" s="57">
        <v>8.6957000000000007E-2</v>
      </c>
      <c r="G70" s="57">
        <v>0.99968699999999999</v>
      </c>
      <c r="H70" s="56">
        <v>7448</v>
      </c>
      <c r="I70" s="56">
        <v>29</v>
      </c>
      <c r="J70" s="87">
        <v>3.8939999999999999E-3</v>
      </c>
      <c r="K70" s="71" cm="1">
        <f t="array" ref="K70:P70">_xldudf_OPTIONSAMURAI_OPTION($D$3, TRIM(RIGHT($D$4,4)), YEAR($I$16) &amp; "-" &amp; TEXT(MONTH($I$16), "00") &amp; "-" &amp; TEXT(DAY($I$16), "00"), E18, "delta","theta","vega","iv","extrinsic_value","intrinsic_value")</f>
        <v>-2.1045000000000001E-2</v>
      </c>
      <c r="L70" s="71">
        <v>-1.9952000000000001E-2</v>
      </c>
      <c r="M70" s="71">
        <v>3.6628000000000001E-2</v>
      </c>
      <c r="N70" s="71">
        <v>0.39158799999999999</v>
      </c>
      <c r="O70" s="66">
        <v>0.23</v>
      </c>
      <c r="P70" s="67">
        <v>0</v>
      </c>
      <c r="Q70" s="71">
        <f>$J$12-K70</f>
        <v>-2.9571E-2</v>
      </c>
      <c r="R70" s="71">
        <f>$K$12-L70</f>
        <v>-4.6482999999999997E-2</v>
      </c>
      <c r="S70" s="71">
        <f>$L$12-M70</f>
        <v>-2.9370000000000021E-3</v>
      </c>
      <c r="T70" s="71">
        <f>$M$12-N70</f>
        <v>-0.11127100000000001</v>
      </c>
      <c r="U70" s="66">
        <f>$N$12-O70</f>
        <v>-3.5000000000000003E-2</v>
      </c>
      <c r="V70" s="67">
        <f>$O$12-P70</f>
        <v>0</v>
      </c>
    </row>
    <row r="71" spans="2:22" hidden="1" x14ac:dyDescent="0.2">
      <c r="B71" s="58" cm="1">
        <f t="array" ref="B71">_xldudf_OPTIONSAMURAI_OPTION(D3,TRIM(RIGHT(D4,4)), YEAR($I$16) &amp; "-" &amp; TEXT(MONTH($I$16), "00") &amp; "-" &amp; TEXT(DAY($I$16), "00"), "-9N", "strike")</f>
        <v>190</v>
      </c>
      <c r="C71" s="58" cm="1">
        <f t="array" ref="C71:J71">_xldudf_OPTIONSAMURAI_OPTION($D$3, TRIM(RIGHT($D$4,4)), YEAR($I$16) &amp; "-" &amp; TEXT(MONTH($I$16), "00") &amp; "-" &amp; TEXT(DAY($I$16), "00"), E19, "bid", "ask", "mid","bid_ask_spread_pc","prob_otm","open_interest","volume","option_volume_power")</f>
        <v>0.28000000000000003</v>
      </c>
      <c r="D71" s="59">
        <v>0.3</v>
      </c>
      <c r="E71" s="59">
        <v>0.28999999999999998</v>
      </c>
      <c r="F71" s="60">
        <v>6.8966E-2</v>
      </c>
      <c r="G71" s="60">
        <v>0.99879700000000005</v>
      </c>
      <c r="H71" s="59">
        <v>15911</v>
      </c>
      <c r="I71" s="59">
        <v>196</v>
      </c>
      <c r="J71" s="88">
        <v>1.2319E-2</v>
      </c>
      <c r="K71" s="71" cm="1">
        <f t="array" ref="K71:P71">_xldudf_OPTIONSAMURAI_OPTION($D$3, TRIM(RIGHT($D$4,4)), YEAR($I$16) &amp; "-" &amp; TEXT(MONTH($I$16), "00") &amp; "-" &amp; TEXT(DAY($I$16), "00"), E19, "delta","theta","vega","iv","extrinsic_value","intrinsic_value")</f>
        <v>-2.733E-2</v>
      </c>
      <c r="L71" s="71">
        <v>-2.3279000000000001E-2</v>
      </c>
      <c r="M71" s="71">
        <v>4.5621000000000002E-2</v>
      </c>
      <c r="N71" s="71">
        <v>0.36793500000000001</v>
      </c>
      <c r="O71" s="66">
        <v>0.28999999999999998</v>
      </c>
      <c r="P71" s="67">
        <v>0</v>
      </c>
      <c r="Q71" s="71">
        <f t="shared" ref="Q71:Q89" si="18">$J$12-K71</f>
        <v>-2.3286000000000001E-2</v>
      </c>
      <c r="R71" s="71">
        <f t="shared" ref="R71:R89" si="19">$K$12-L71</f>
        <v>-4.3155999999999993E-2</v>
      </c>
      <c r="S71" s="71">
        <f t="shared" ref="S71:S89" si="20">$L$12-M71</f>
        <v>-1.1930000000000003E-2</v>
      </c>
      <c r="T71" s="71">
        <f t="shared" ref="T71:T89" si="21">$M$12-N71</f>
        <v>-8.7618000000000029E-2</v>
      </c>
      <c r="U71" s="66">
        <f t="shared" ref="U71:U89" si="22">$N$12-O71</f>
        <v>-9.4999999999999973E-2</v>
      </c>
      <c r="V71" s="67">
        <f t="shared" ref="V71:V89" si="23">$O$12-P71</f>
        <v>0</v>
      </c>
    </row>
    <row r="72" spans="2:22" hidden="1" x14ac:dyDescent="0.2">
      <c r="B72" s="58" cm="1">
        <f t="array" ref="B72">_xldudf_OPTIONSAMURAI_OPTION(D3,TRIM(RIGHT(D4,4)), YEAR($I$16) &amp; "-" &amp; TEXT(MONTH($I$16), "00") &amp; "-" &amp; TEXT(DAY($I$16), "00"), "-8N", "strike")</f>
        <v>195</v>
      </c>
      <c r="C72" s="58" cm="1">
        <f t="array" ref="C72:J72">_xldudf_OPTIONSAMURAI_OPTION($D$3, TRIM(RIGHT($D$4,4)), YEAR($I$16) &amp; "-" &amp; TEXT(MONTH($I$16), "00") &amp; "-" &amp; TEXT(DAY($I$16), "00"), E20, "bid", "ask", "mid","bid_ask_spread_pc","prob_otm","open_interest","volume","option_volume_power")</f>
        <v>0.35</v>
      </c>
      <c r="D72" s="59">
        <v>0.37</v>
      </c>
      <c r="E72" s="59">
        <v>0.36</v>
      </c>
      <c r="F72" s="60">
        <v>5.5556000000000001E-2</v>
      </c>
      <c r="G72" s="60">
        <v>0.99608799999999997</v>
      </c>
      <c r="H72" s="59">
        <v>8570</v>
      </c>
      <c r="I72" s="59">
        <v>726</v>
      </c>
      <c r="J72" s="88">
        <v>8.4713999999999998E-2</v>
      </c>
      <c r="K72" s="71" cm="1">
        <f t="array" ref="K72:P72">_xldudf_OPTIONSAMURAI_OPTION($D$3, TRIM(RIGHT($D$4,4)), YEAR($I$16) &amp; "-" &amp; TEXT(MONTH($I$16), "00") &amp; "-" &amp; TEXT(DAY($I$16), "00"), E20, "delta","theta","vega","iv","extrinsic_value","intrinsic_value")</f>
        <v>-3.5200000000000002E-2</v>
      </c>
      <c r="L72" s="71">
        <v>-2.6646E-2</v>
      </c>
      <c r="M72" s="71">
        <v>5.6246999999999998E-2</v>
      </c>
      <c r="N72" s="71">
        <v>0.34285599999999999</v>
      </c>
      <c r="O72" s="66">
        <v>0.36</v>
      </c>
      <c r="P72" s="67">
        <v>0</v>
      </c>
      <c r="Q72" s="71">
        <f t="shared" si="18"/>
        <v>-1.5415999999999999E-2</v>
      </c>
      <c r="R72" s="71">
        <f t="shared" si="19"/>
        <v>-3.9788999999999991E-2</v>
      </c>
      <c r="S72" s="71">
        <f t="shared" si="20"/>
        <v>-2.2556E-2</v>
      </c>
      <c r="T72" s="71">
        <f t="shared" si="21"/>
        <v>-6.2539000000000011E-2</v>
      </c>
      <c r="U72" s="66">
        <f t="shared" si="22"/>
        <v>-0.16499999999999998</v>
      </c>
      <c r="V72" s="67">
        <f t="shared" si="23"/>
        <v>0</v>
      </c>
    </row>
    <row r="73" spans="2:22" hidden="1" x14ac:dyDescent="0.2">
      <c r="B73" s="58" cm="1">
        <f t="array" ref="B73">_xldudf_OPTIONSAMURAI_OPTION(D3,TRIM(RIGHT(D4,4)), YEAR($I$16) &amp; "-" &amp; TEXT(MONTH($I$16), "00") &amp; "-" &amp; TEXT(DAY($I$16), "00"), "-7N", "strike")</f>
        <v>200</v>
      </c>
      <c r="C73" s="58" cm="1">
        <f t="array" ref="C73:J73">_xldudf_OPTIONSAMURAI_OPTION($D$3, TRIM(RIGHT($D$4,4)), YEAR($I$16) &amp; "-" &amp; TEXT(MONTH($I$16), "00") &amp; "-" &amp; TEXT(DAY($I$16), "00"), E21, "bid", "ask", "mid","bid_ask_spread_pc","prob_otm","open_interest","volume","option_volume_power")</f>
        <v>0.46</v>
      </c>
      <c r="D73" s="59">
        <v>0.49</v>
      </c>
      <c r="E73" s="59">
        <v>0.47499999999999998</v>
      </c>
      <c r="F73" s="60">
        <v>6.3158000000000006E-2</v>
      </c>
      <c r="G73" s="60">
        <v>0.989093</v>
      </c>
      <c r="H73" s="59">
        <v>18924</v>
      </c>
      <c r="I73" s="59">
        <v>240</v>
      </c>
      <c r="J73" s="88">
        <v>1.2682000000000001E-2</v>
      </c>
      <c r="K73" s="71" cm="1">
        <f t="array" ref="K73:P73">_xldudf_OPTIONSAMURAI_OPTION($D$3, TRIM(RIGHT($D$4,4)), YEAR($I$16) &amp; "-" &amp; TEXT(MONTH($I$16), "00") &amp; "-" &amp; TEXT(DAY($I$16), "00"), E21, "delta","theta","vega","iv","extrinsic_value","intrinsic_value")</f>
        <v>-4.7451E-2</v>
      </c>
      <c r="L73" s="71">
        <v>-3.1655999999999997E-2</v>
      </c>
      <c r="M73" s="71">
        <v>7.1664000000000005E-2</v>
      </c>
      <c r="N73" s="71">
        <v>0.321129</v>
      </c>
      <c r="O73" s="66">
        <v>0.47499999999999998</v>
      </c>
      <c r="P73" s="67">
        <v>0</v>
      </c>
      <c r="Q73" s="71">
        <f t="shared" si="18"/>
        <v>-3.1650000000000011E-3</v>
      </c>
      <c r="R73" s="71">
        <f t="shared" si="19"/>
        <v>-3.4778999999999997E-2</v>
      </c>
      <c r="S73" s="71">
        <f t="shared" si="20"/>
        <v>-3.7973000000000007E-2</v>
      </c>
      <c r="T73" s="71">
        <f t="shared" si="21"/>
        <v>-4.0812000000000015E-2</v>
      </c>
      <c r="U73" s="66">
        <f t="shared" si="22"/>
        <v>-0.27999999999999997</v>
      </c>
      <c r="V73" s="67">
        <f t="shared" si="23"/>
        <v>0</v>
      </c>
    </row>
    <row r="74" spans="2:22" hidden="1" x14ac:dyDescent="0.2">
      <c r="B74" s="58" cm="1">
        <f t="array" ref="B74">_xldudf_OPTIONSAMURAI_OPTION(D3,TRIM(RIGHT(D4,4)), YEAR($I$16) &amp; "-" &amp; TEXT(MONTH($I$16), "00") &amp; "-" &amp; TEXT(DAY($I$16), "00"), "-6N", "strike")</f>
        <v>205</v>
      </c>
      <c r="C74" s="58" cm="1">
        <f t="array" ref="C74:J74">_xldudf_OPTIONSAMURAI_OPTION($D$3, TRIM(RIGHT($D$4,4)), YEAR($I$16) &amp; "-" &amp; TEXT(MONTH($I$16), "00") &amp; "-" &amp; TEXT(DAY($I$16), "00"), E22, "bid", "ask", "mid","bid_ask_spread_pc","prob_otm","open_interest","volume","option_volume_power")</f>
        <v>0.62</v>
      </c>
      <c r="D74" s="59">
        <v>0.64</v>
      </c>
      <c r="E74" s="59">
        <v>0.63</v>
      </c>
      <c r="F74" s="60">
        <v>3.1746000000000003E-2</v>
      </c>
      <c r="G74" s="60">
        <v>0.97360800000000003</v>
      </c>
      <c r="H74" s="59">
        <v>12068</v>
      </c>
      <c r="I74" s="59">
        <v>866</v>
      </c>
      <c r="J74" s="88">
        <v>7.1760000000000004E-2</v>
      </c>
      <c r="K74" s="71" cm="1">
        <f t="array" ref="K74:P74">_xldudf_OPTIONSAMURAI_OPTION($D$3, TRIM(RIGHT($D$4,4)), YEAR($I$16) &amp; "-" &amp; TEXT(MONTH($I$16), "00") &amp; "-" &amp; TEXT(DAY($I$16), "00"), E22, "delta","theta","vega","iv","extrinsic_value","intrinsic_value")</f>
        <v>-6.4328999999999997E-2</v>
      </c>
      <c r="L74" s="71">
        <v>-3.7276999999999998E-2</v>
      </c>
      <c r="M74" s="71">
        <v>9.1129000000000002E-2</v>
      </c>
      <c r="N74" s="71">
        <v>0.29907699999999998</v>
      </c>
      <c r="O74" s="66">
        <v>0.63</v>
      </c>
      <c r="P74" s="67">
        <v>0</v>
      </c>
      <c r="Q74" s="71">
        <f t="shared" si="18"/>
        <v>1.3712999999999996E-2</v>
      </c>
      <c r="R74" s="71">
        <f t="shared" si="19"/>
        <v>-2.9157999999999996E-2</v>
      </c>
      <c r="S74" s="71">
        <f t="shared" si="20"/>
        <v>-5.7438000000000003E-2</v>
      </c>
      <c r="T74" s="71">
        <f t="shared" si="21"/>
        <v>-1.8759999999999999E-2</v>
      </c>
      <c r="U74" s="66">
        <f t="shared" si="22"/>
        <v>-0.435</v>
      </c>
      <c r="V74" s="67">
        <f t="shared" si="23"/>
        <v>0</v>
      </c>
    </row>
    <row r="75" spans="2:22" hidden="1" x14ac:dyDescent="0.2">
      <c r="B75" s="58" cm="1">
        <f t="array" ref="B75">_xldudf_OPTIONSAMURAI_OPTION(D3,TRIM(RIGHT(D4,4)), YEAR($I$16) &amp; "-" &amp; TEXT(MONTH($I$16), "00") &amp; "-" &amp; TEXT(DAY($I$16), "00"), "-5N", "strike")</f>
        <v>210</v>
      </c>
      <c r="C75" s="58" cm="1">
        <f t="array" ref="C75:J75">_xldudf_OPTIONSAMURAI_OPTION($D$3, TRIM(RIGHT($D$4,4)), YEAR($I$16) &amp; "-" &amp; TEXT(MONTH($I$16), "00") &amp; "-" &amp; TEXT(DAY($I$16), "00"), E23, "bid", "ask", "mid","bid_ask_spread_pc","prob_otm","open_interest","volume","option_volume_power")</f>
        <v>0.87</v>
      </c>
      <c r="D75" s="59">
        <v>0.89</v>
      </c>
      <c r="E75" s="59">
        <v>0.88</v>
      </c>
      <c r="F75" s="60">
        <v>2.2727000000000001E-2</v>
      </c>
      <c r="G75" s="60">
        <v>0.94389699999999999</v>
      </c>
      <c r="H75" s="59">
        <v>28682</v>
      </c>
      <c r="I75" s="59">
        <v>864</v>
      </c>
      <c r="J75" s="88">
        <v>3.0123E-2</v>
      </c>
      <c r="K75" s="71" cm="1">
        <f t="array" ref="K75:P75">_xldudf_OPTIONSAMURAI_OPTION($D$3, TRIM(RIGHT($D$4,4)), YEAR($I$16) &amp; "-" &amp; TEXT(MONTH($I$16), "00") &amp; "-" &amp; TEXT(DAY($I$16), "00"), E23, "delta","theta","vega","iv","extrinsic_value","intrinsic_value")</f>
        <v>-9.0249999999999997E-2</v>
      </c>
      <c r="L75" s="71">
        <v>-4.4812999999999999E-2</v>
      </c>
      <c r="M75" s="71">
        <v>0.1179</v>
      </c>
      <c r="N75" s="71">
        <v>0.27990599999999999</v>
      </c>
      <c r="O75" s="66">
        <v>0.88</v>
      </c>
      <c r="P75" s="67">
        <v>0</v>
      </c>
      <c r="Q75" s="71">
        <f t="shared" si="18"/>
        <v>3.9633999999999996E-2</v>
      </c>
      <c r="R75" s="71">
        <f t="shared" si="19"/>
        <v>-2.1621999999999995E-2</v>
      </c>
      <c r="S75" s="71">
        <f t="shared" si="20"/>
        <v>-8.4209000000000006E-2</v>
      </c>
      <c r="T75" s="71">
        <f t="shared" si="21"/>
        <v>4.109999999999947E-4</v>
      </c>
      <c r="U75" s="66">
        <f t="shared" si="22"/>
        <v>-0.68500000000000005</v>
      </c>
      <c r="V75" s="67">
        <f t="shared" si="23"/>
        <v>0</v>
      </c>
    </row>
    <row r="76" spans="2:22" hidden="1" x14ac:dyDescent="0.2">
      <c r="B76" s="58" cm="1">
        <f t="array" ref="B76">_xldudf_OPTIONSAMURAI_OPTION(D3,TRIM(RIGHT(D4,4)), YEAR($I$16) &amp; "-" &amp; TEXT(MONTH($I$16), "00") &amp; "-" &amp; TEXT(DAY($I$16), "00"), "-4N", "strike")</f>
        <v>215</v>
      </c>
      <c r="C76" s="58" cm="1">
        <f t="array" ref="C76:J76">_xldudf_OPTIONSAMURAI_OPTION($D$3, TRIM(RIGHT($D$4,4)), YEAR($I$16) &amp; "-" &amp; TEXT(MONTH($I$16), "00") &amp; "-" &amp; TEXT(DAY($I$16), "00"), E24, "bid", "ask", "mid","bid_ask_spread_pc","prob_otm","open_interest","volume","option_volume_power")</f>
        <v>1.26</v>
      </c>
      <c r="D76" s="59">
        <v>1.29</v>
      </c>
      <c r="E76" s="59">
        <v>1.2749999999999999</v>
      </c>
      <c r="F76" s="60">
        <v>2.3529000000000001E-2</v>
      </c>
      <c r="G76" s="60">
        <v>0.89402700000000002</v>
      </c>
      <c r="H76" s="59">
        <v>16676</v>
      </c>
      <c r="I76" s="59">
        <v>555</v>
      </c>
      <c r="J76" s="88">
        <v>3.3280999999999998E-2</v>
      </c>
      <c r="K76" s="71" cm="1">
        <f t="array" ref="K76:P76">_xldudf_OPTIONSAMURAI_OPTION($D$3, TRIM(RIGHT($D$4,4)), YEAR($I$16) &amp; "-" &amp; TEXT(MONTH($I$16), "00") &amp; "-" &amp; TEXT(DAY($I$16), "00"), E24, "delta","theta","vega","iv","extrinsic_value","intrinsic_value")</f>
        <v>-0.129075</v>
      </c>
      <c r="L76" s="71">
        <v>-5.3962999999999997E-2</v>
      </c>
      <c r="M76" s="71">
        <v>0.15251500000000001</v>
      </c>
      <c r="N76" s="71">
        <v>0.263021</v>
      </c>
      <c r="O76" s="66">
        <v>1.2749999999999999</v>
      </c>
      <c r="P76" s="67">
        <v>0</v>
      </c>
      <c r="Q76" s="71">
        <f t="shared" si="18"/>
        <v>7.8459000000000001E-2</v>
      </c>
      <c r="R76" s="71">
        <f t="shared" si="19"/>
        <v>-1.2471999999999997E-2</v>
      </c>
      <c r="S76" s="71">
        <f t="shared" si="20"/>
        <v>-0.11882400000000001</v>
      </c>
      <c r="T76" s="71">
        <f t="shared" si="21"/>
        <v>1.7295999999999978E-2</v>
      </c>
      <c r="U76" s="66">
        <f t="shared" si="22"/>
        <v>-1.0799999999999998</v>
      </c>
      <c r="V76" s="67">
        <f t="shared" si="23"/>
        <v>0</v>
      </c>
    </row>
    <row r="77" spans="2:22" hidden="1" x14ac:dyDescent="0.2">
      <c r="B77" s="58" cm="1">
        <f t="array" ref="B77">_xldudf_OPTIONSAMURAI_OPTION(D3,TRIM(RIGHT(D4,4)), YEAR($I$16) &amp; "-" &amp; TEXT(MONTH($I$16), "00") &amp; "-" &amp; TEXT(DAY($I$16), "00"), "-3N", "strike")</f>
        <v>220</v>
      </c>
      <c r="C77" s="58" cm="1">
        <f t="array" ref="C77:J77">_xldudf_OPTIONSAMURAI_OPTION($D$3, TRIM(RIGHT($D$4,4)), YEAR($I$16) &amp; "-" &amp; TEXT(MONTH($I$16), "00") &amp; "-" &amp; TEXT(DAY($I$16), "00"), E25, "bid", "ask", "mid","bid_ask_spread_pc","prob_otm","open_interest","volume","option_volume_power")</f>
        <v>1.88</v>
      </c>
      <c r="D77" s="59">
        <v>1.93</v>
      </c>
      <c r="E77" s="59">
        <v>1.905</v>
      </c>
      <c r="F77" s="60">
        <v>2.6246999999999999E-2</v>
      </c>
      <c r="G77" s="60">
        <v>0.82014699999999996</v>
      </c>
      <c r="H77" s="59">
        <v>19974</v>
      </c>
      <c r="I77" s="59">
        <v>2154</v>
      </c>
      <c r="J77" s="88">
        <v>0.10784000000000001</v>
      </c>
      <c r="K77" s="71" cm="1">
        <f t="array" ref="K77:P77">_xldudf_OPTIONSAMURAI_OPTION($D$3, TRIM(RIGHT($D$4,4)), YEAR($I$16) &amp; "-" &amp; TEXT(MONTH($I$16), "00") &amp; "-" &amp; TEXT(DAY($I$16), "00"), E25, "delta","theta","vega","iv","extrinsic_value","intrinsic_value")</f>
        <v>-0.186136</v>
      </c>
      <c r="L77" s="71">
        <v>-6.4172999999999994E-2</v>
      </c>
      <c r="M77" s="71">
        <v>0.194136</v>
      </c>
      <c r="N77" s="71">
        <v>0.24884300000000001</v>
      </c>
      <c r="O77" s="66">
        <v>1.905</v>
      </c>
      <c r="P77" s="67">
        <v>0</v>
      </c>
      <c r="Q77" s="71">
        <f t="shared" si="18"/>
        <v>0.13552</v>
      </c>
      <c r="R77" s="71">
        <f t="shared" si="19"/>
        <v>-2.2620000000000001E-3</v>
      </c>
      <c r="S77" s="71">
        <f t="shared" si="20"/>
        <v>-0.160445</v>
      </c>
      <c r="T77" s="71">
        <f t="shared" si="21"/>
        <v>3.1473999999999974E-2</v>
      </c>
      <c r="U77" s="66">
        <f t="shared" si="22"/>
        <v>-1.71</v>
      </c>
      <c r="V77" s="67">
        <f t="shared" si="23"/>
        <v>0</v>
      </c>
    </row>
    <row r="78" spans="2:22" hidden="1" x14ac:dyDescent="0.2">
      <c r="B78" s="58" cm="1">
        <f t="array" ref="B78">_xldudf_OPTIONSAMURAI_OPTION(D3,TRIM(RIGHT(D4,4)), YEAR($I$16) &amp; "-" &amp; TEXT(MONTH($I$16), "00") &amp; "-" &amp; TEXT(DAY($I$16), "00"), "-2N", "strike")</f>
        <v>225</v>
      </c>
      <c r="C78" s="58" cm="1">
        <f t="array" ref="C78:J78">_xldudf_OPTIONSAMURAI_OPTION($D$3, TRIM(RIGHT($D$4,4)), YEAR($I$16) &amp; "-" &amp; TEXT(MONTH($I$16), "00") &amp; "-" &amp; TEXT(DAY($I$16), "00"), E26, "bid", "ask", "mid","bid_ask_spread_pc","prob_otm","open_interest","volume","option_volume_power")</f>
        <v>2.86</v>
      </c>
      <c r="D78" s="59">
        <v>2.91</v>
      </c>
      <c r="E78" s="59">
        <v>2.8849999999999998</v>
      </c>
      <c r="F78" s="60">
        <v>1.7330999999999999E-2</v>
      </c>
      <c r="G78" s="60">
        <v>0.72276899999999999</v>
      </c>
      <c r="H78" s="59">
        <v>7310</v>
      </c>
      <c r="I78" s="59">
        <v>1938</v>
      </c>
      <c r="J78" s="88">
        <v>0.26511600000000002</v>
      </c>
      <c r="K78" s="71" cm="1">
        <f t="array" ref="K78:P78">_xldudf_OPTIONSAMURAI_OPTION($D$3, TRIM(RIGHT($D$4,4)), YEAR($I$16) &amp; "-" &amp; TEXT(MONTH($I$16), "00") &amp; "-" &amp; TEXT(DAY($I$16), "00"), E26, "delta","theta","vega","iv","extrinsic_value","intrinsic_value")</f>
        <v>-0.265598</v>
      </c>
      <c r="L78" s="71">
        <v>-7.3579000000000006E-2</v>
      </c>
      <c r="M78" s="71">
        <v>0.23758799999999999</v>
      </c>
      <c r="N78" s="71">
        <v>0.23723</v>
      </c>
      <c r="O78" s="66">
        <v>2.8849999999999998</v>
      </c>
      <c r="P78" s="67">
        <v>0</v>
      </c>
      <c r="Q78" s="71">
        <f t="shared" si="18"/>
        <v>0.21498200000000001</v>
      </c>
      <c r="R78" s="71">
        <f t="shared" si="19"/>
        <v>7.1440000000000115E-3</v>
      </c>
      <c r="S78" s="71">
        <f t="shared" si="20"/>
        <v>-0.20389699999999999</v>
      </c>
      <c r="T78" s="71">
        <f t="shared" si="21"/>
        <v>4.3086999999999986E-2</v>
      </c>
      <c r="U78" s="66">
        <f t="shared" si="22"/>
        <v>-2.69</v>
      </c>
      <c r="V78" s="67">
        <f t="shared" si="23"/>
        <v>0</v>
      </c>
    </row>
    <row r="79" spans="2:22" hidden="1" x14ac:dyDescent="0.2">
      <c r="B79" s="58" cm="1">
        <f t="array" ref="B79">_xldudf_OPTIONSAMURAI_OPTION(D3,TRIM(RIGHT(D4,4)), YEAR($I$16) &amp; "-" &amp; TEXT(MONTH($I$16), "00") &amp; "-" &amp; TEXT(DAY($I$16), "00"), "-1N", "strike")</f>
        <v>230</v>
      </c>
      <c r="C79" s="58" cm="1">
        <f t="array" ref="C79:J79">_xldudf_OPTIONSAMURAI_OPTION($D$3, TRIM(RIGHT($D$4,4)), YEAR($I$16) &amp; "-" &amp; TEXT(MONTH($I$16), "00") &amp; "-" &amp; TEXT(DAY($I$16), "00"), E27, "bid", "ask", "mid","bid_ask_spread_pc","prob_otm","open_interest","volume","option_volume_power")</f>
        <v>4.3</v>
      </c>
      <c r="D79" s="59">
        <v>4.4000000000000004</v>
      </c>
      <c r="E79" s="59">
        <v>4.3499999999999996</v>
      </c>
      <c r="F79" s="60">
        <v>2.2988999999999999E-2</v>
      </c>
      <c r="G79" s="60">
        <v>0.60772199999999998</v>
      </c>
      <c r="H79" s="59">
        <v>11919</v>
      </c>
      <c r="I79" s="59">
        <v>3125</v>
      </c>
      <c r="J79" s="88">
        <v>0.26218599999999997</v>
      </c>
      <c r="K79" s="71" cm="1">
        <f t="array" ref="K79:P79">_xldudf_OPTIONSAMURAI_OPTION($D$3, TRIM(RIGHT($D$4,4)), YEAR($I$16) &amp; "-" &amp; TEXT(MONTH($I$16), "00") &amp; "-" &amp; TEXT(DAY($I$16), "00"), E27, "delta","theta","vega","iv","extrinsic_value","intrinsic_value")</f>
        <v>-0.368037</v>
      </c>
      <c r="L79" s="71">
        <v>-7.9319000000000001E-2</v>
      </c>
      <c r="M79" s="71">
        <v>0.273086</v>
      </c>
      <c r="N79" s="71">
        <v>0.22811100000000001</v>
      </c>
      <c r="O79" s="66">
        <v>4.3499999999999996</v>
      </c>
      <c r="P79" s="67">
        <v>0</v>
      </c>
      <c r="Q79" s="71">
        <f t="shared" si="18"/>
        <v>0.31742100000000001</v>
      </c>
      <c r="R79" s="71">
        <f t="shared" si="19"/>
        <v>1.2884000000000007E-2</v>
      </c>
      <c r="S79" s="71">
        <f t="shared" si="20"/>
        <v>-0.239395</v>
      </c>
      <c r="T79" s="71">
        <f t="shared" si="21"/>
        <v>5.2205999999999975E-2</v>
      </c>
      <c r="U79" s="66">
        <f t="shared" si="22"/>
        <v>-4.1549999999999994</v>
      </c>
      <c r="V79" s="67">
        <f t="shared" si="23"/>
        <v>0</v>
      </c>
    </row>
    <row r="80" spans="2:22" hidden="1" x14ac:dyDescent="0.2">
      <c r="B80" s="58" cm="1">
        <f t="array" ref="B80">_xldudf_OPTIONSAMURAI_OPTION(D3,TRIM(RIGHT(D4,4)), YEAR($I$16) &amp; "-" &amp; TEXT(MONTH($I$16), "00") &amp; "-" &amp; TEXT(DAY($I$16), "00"), "1N", "strike")</f>
        <v>235</v>
      </c>
      <c r="C80" s="58" cm="1">
        <f t="array" ref="C80:J80">_xldudf_OPTIONSAMURAI_OPTION($D$3, TRIM(RIGHT($D$4,4)), YEAR($I$16) &amp; "-" &amp; TEXT(MONTH($I$16), "00") &amp; "-" &amp; TEXT(DAY($I$16), "00"), E28, "bid", "ask", "mid","bid_ask_spread_pc","prob_otm","open_interest","volume","option_volume_power")</f>
        <v>6.4</v>
      </c>
      <c r="D80" s="59">
        <v>6.5</v>
      </c>
      <c r="E80" s="59">
        <v>6.45</v>
      </c>
      <c r="F80" s="60">
        <v>1.5504E-2</v>
      </c>
      <c r="G80" s="60">
        <v>0.48505100000000001</v>
      </c>
      <c r="H80" s="59">
        <v>4130</v>
      </c>
      <c r="I80" s="59">
        <v>682</v>
      </c>
      <c r="J80" s="88">
        <v>0.165133</v>
      </c>
      <c r="K80" s="71" cm="1">
        <f t="array" ref="K80:P80">_xldudf_OPTIONSAMURAI_OPTION($D$3, TRIM(RIGHT($D$4,4)), YEAR($I$16) &amp; "-" &amp; TEXT(MONTH($I$16), "00") &amp; "-" &amp; TEXT(DAY($I$16), "00"), E28, "delta","theta","vega","iv","extrinsic_value","intrinsic_value")</f>
        <v>-0.487431</v>
      </c>
      <c r="L80" s="71">
        <v>-7.8867000000000007E-2</v>
      </c>
      <c r="M80" s="71">
        <v>0.28890300000000002</v>
      </c>
      <c r="N80" s="71">
        <v>0.222359</v>
      </c>
      <c r="O80" s="66">
        <v>5.52</v>
      </c>
      <c r="P80" s="67">
        <v>0.93</v>
      </c>
      <c r="Q80" s="71">
        <f t="shared" si="18"/>
        <v>0.43681500000000001</v>
      </c>
      <c r="R80" s="71">
        <f t="shared" si="19"/>
        <v>1.2432000000000012E-2</v>
      </c>
      <c r="S80" s="71">
        <f t="shared" si="20"/>
        <v>-0.25521199999999999</v>
      </c>
      <c r="T80" s="71">
        <f t="shared" si="21"/>
        <v>5.7957999999999982E-2</v>
      </c>
      <c r="U80" s="66">
        <f t="shared" si="22"/>
        <v>-5.3249999999999993</v>
      </c>
      <c r="V80" s="67">
        <f t="shared" si="23"/>
        <v>-0.93</v>
      </c>
    </row>
    <row r="81" spans="2:22" hidden="1" x14ac:dyDescent="0.2">
      <c r="B81" s="58" cm="1">
        <f t="array" ref="B81">_xldudf_OPTIONSAMURAI_OPTION(D3,TRIM(RIGHT(D4,4)), YEAR($I$16) &amp; "-" &amp; TEXT(MONTH($I$16), "00") &amp; "-" &amp; TEXT(DAY($I$16), "00"), "2N", "strike")</f>
        <v>240</v>
      </c>
      <c r="C81" s="58" cm="1">
        <f t="array" ref="C81:J81">_xldudf_OPTIONSAMURAI_OPTION($D$3, TRIM(RIGHT($D$4,4)), YEAR($I$16) &amp; "-" &amp; TEXT(MONTH($I$16), "00") &amp; "-" &amp; TEXT(DAY($I$16), "00"), E29, "bid", "ask", "mid","bid_ask_spread_pc","prob_otm","open_interest","volume","option_volume_power")</f>
        <v>9.15</v>
      </c>
      <c r="D81" s="59">
        <v>9.25</v>
      </c>
      <c r="E81" s="59">
        <v>9.1999999999999993</v>
      </c>
      <c r="F81" s="60">
        <v>1.0869999999999999E-2</v>
      </c>
      <c r="G81" s="60">
        <v>0.36625000000000002</v>
      </c>
      <c r="H81" s="59">
        <v>3431</v>
      </c>
      <c r="I81" s="59">
        <v>978</v>
      </c>
      <c r="J81" s="88">
        <v>0.28504800000000002</v>
      </c>
      <c r="K81" s="71" cm="1">
        <f t="array" ref="K81:P81">_xldudf_OPTIONSAMURAI_OPTION($D$3, TRIM(RIGHT($D$4,4)), YEAR($I$16) &amp; "-" &amp; TEXT(MONTH($I$16), "00") &amp; "-" &amp; TEXT(DAY($I$16), "00"), E29, "delta","theta","vega","iv","extrinsic_value","intrinsic_value")</f>
        <v>-0.61061500000000002</v>
      </c>
      <c r="L81" s="71">
        <v>-7.0299E-2</v>
      </c>
      <c r="M81" s="71">
        <v>0.277864</v>
      </c>
      <c r="N81" s="71">
        <v>0.21818699999999999</v>
      </c>
      <c r="O81" s="66">
        <v>3.27</v>
      </c>
      <c r="P81" s="67">
        <v>5.93</v>
      </c>
      <c r="Q81" s="71">
        <f t="shared" si="18"/>
        <v>0.55999900000000002</v>
      </c>
      <c r="R81" s="71">
        <f t="shared" si="19"/>
        <v>3.8640000000000063E-3</v>
      </c>
      <c r="S81" s="71">
        <f t="shared" si="20"/>
        <v>-0.244173</v>
      </c>
      <c r="T81" s="71">
        <f t="shared" si="21"/>
        <v>6.2129999999999991E-2</v>
      </c>
      <c r="U81" s="66">
        <f t="shared" si="22"/>
        <v>-3.0750000000000002</v>
      </c>
      <c r="V81" s="67">
        <f t="shared" si="23"/>
        <v>-5.93</v>
      </c>
    </row>
    <row r="82" spans="2:22" hidden="1" x14ac:dyDescent="0.2">
      <c r="B82" s="58" cm="1">
        <f t="array" ref="B82">_xldudf_OPTIONSAMURAI_OPTION(D3,TRIM(RIGHT(D4,4)), YEAR($I$16) &amp; "-" &amp; TEXT(MONTH($I$16), "00") &amp; "-" &amp; TEXT(DAY($I$16), "00"), "3N", "strike")</f>
        <v>245</v>
      </c>
      <c r="C82" s="58" cm="1">
        <f t="array" ref="C82:J82">_xldudf_OPTIONSAMURAI_OPTION($D$3, TRIM(RIGHT($D$4,4)), YEAR($I$16) &amp; "-" &amp; TEXT(MONTH($I$16), "00") &amp; "-" &amp; TEXT(DAY($I$16), "00"), E30, "bid", "ask", "mid","bid_ask_spread_pc","prob_otm","open_interest","volume","option_volume_power")</f>
        <v>12.4</v>
      </c>
      <c r="D82" s="59">
        <v>13</v>
      </c>
      <c r="E82" s="59">
        <v>12.7</v>
      </c>
      <c r="F82" s="60">
        <v>4.7244000000000001E-2</v>
      </c>
      <c r="G82" s="60">
        <v>0.26113599999999998</v>
      </c>
      <c r="H82" s="59">
        <v>991</v>
      </c>
      <c r="I82" s="59">
        <v>81</v>
      </c>
      <c r="J82" s="88">
        <v>8.1736000000000003E-2</v>
      </c>
      <c r="K82" s="71" cm="1">
        <f t="array" ref="K82:P82">_xldudf_OPTIONSAMURAI_OPTION($D$3, TRIM(RIGHT($D$4,4)), YEAR($I$16) &amp; "-" &amp; TEXT(MONTH($I$16), "00") &amp; "-" &amp; TEXT(DAY($I$16), "00"), E30, "delta","theta","vega","iv","extrinsic_value","intrinsic_value")</f>
        <v>-0.71883600000000003</v>
      </c>
      <c r="L82" s="71">
        <v>-5.7556999999999997E-2</v>
      </c>
      <c r="M82" s="71">
        <v>0.24438499999999999</v>
      </c>
      <c r="N82" s="71">
        <v>0.22049299999999999</v>
      </c>
      <c r="O82" s="66">
        <v>1.77</v>
      </c>
      <c r="P82" s="67">
        <v>10.93</v>
      </c>
      <c r="Q82" s="71">
        <f t="shared" si="18"/>
        <v>0.66822000000000004</v>
      </c>
      <c r="R82" s="71">
        <f t="shared" si="19"/>
        <v>-8.877999999999997E-3</v>
      </c>
      <c r="S82" s="71">
        <f t="shared" si="20"/>
        <v>-0.21069399999999999</v>
      </c>
      <c r="T82" s="71">
        <f t="shared" si="21"/>
        <v>5.9823999999999988E-2</v>
      </c>
      <c r="U82" s="66">
        <f t="shared" si="22"/>
        <v>-1.575</v>
      </c>
      <c r="V82" s="67">
        <f t="shared" si="23"/>
        <v>-10.93</v>
      </c>
    </row>
    <row r="83" spans="2:22" hidden="1" x14ac:dyDescent="0.2">
      <c r="B83" s="58" cm="1">
        <f t="array" ref="B83">_xldudf_OPTIONSAMURAI_OPTION(D3,TRIM(RIGHT(D4,4)), YEAR($I$16) &amp; "-" &amp; TEXT(MONTH($I$16), "00") &amp; "-" &amp; TEXT(DAY($I$16), "00"), "4N", "strike")</f>
        <v>250</v>
      </c>
      <c r="C83" s="58" cm="1">
        <f t="array" ref="C83:J83">_xldudf_OPTIONSAMURAI_OPTION($D$3, TRIM(RIGHT($D$4,4)), YEAR($I$16) &amp; "-" &amp; TEXT(MONTH($I$16), "00") &amp; "-" &amp; TEXT(DAY($I$16), "00"), E31, "bid", "ask", "mid","bid_ask_spread_pc","prob_otm","open_interest","volume","option_volume_power")</f>
        <v>16.600000000000001</v>
      </c>
      <c r="D83" s="59">
        <v>16.850000000000001</v>
      </c>
      <c r="E83" s="59">
        <v>16.725000000000001</v>
      </c>
      <c r="F83" s="60">
        <v>1.4947999999999999E-2</v>
      </c>
      <c r="G83" s="60">
        <v>0.175701</v>
      </c>
      <c r="H83" s="59">
        <v>834</v>
      </c>
      <c r="I83" s="59">
        <v>90</v>
      </c>
      <c r="J83" s="88">
        <v>0.107914</v>
      </c>
      <c r="K83" s="71" cm="1">
        <f t="array" ref="K83:P83">_xldudf_OPTIONSAMURAI_OPTION($D$3, TRIM(RIGHT($D$4,4)), YEAR($I$16) &amp; "-" &amp; TEXT(MONTH($I$16), "00") &amp; "-" &amp; TEXT(DAY($I$16), "00"), E31, "delta","theta","vega","iv","extrinsic_value","intrinsic_value")</f>
        <v>-0.80304200000000003</v>
      </c>
      <c r="L83" s="71">
        <v>-4.2888000000000003E-2</v>
      </c>
      <c r="M83" s="71">
        <v>0.20097499999999999</v>
      </c>
      <c r="N83" s="71">
        <v>0.225961</v>
      </c>
      <c r="O83" s="66">
        <v>0.79500000000000004</v>
      </c>
      <c r="P83" s="67">
        <v>15.93</v>
      </c>
      <c r="Q83" s="71">
        <f t="shared" si="18"/>
        <v>0.75242600000000004</v>
      </c>
      <c r="R83" s="71">
        <f t="shared" si="19"/>
        <v>-2.3546999999999992E-2</v>
      </c>
      <c r="S83" s="71">
        <f t="shared" si="20"/>
        <v>-0.16728399999999999</v>
      </c>
      <c r="T83" s="71">
        <f t="shared" si="21"/>
        <v>5.4355999999999988E-2</v>
      </c>
      <c r="U83" s="66">
        <f t="shared" si="22"/>
        <v>-0.60000000000000009</v>
      </c>
      <c r="V83" s="67">
        <f t="shared" si="23"/>
        <v>-15.93</v>
      </c>
    </row>
    <row r="84" spans="2:22" hidden="1" x14ac:dyDescent="0.2">
      <c r="B84" s="58" cm="1">
        <f t="array" ref="B84">_xldudf_OPTIONSAMURAI_OPTION(D3,TRIM(RIGHT(D4,4)), YEAR($I$16) &amp; "-" &amp; TEXT(MONTH($I$16), "00") &amp; "-" &amp; TEXT(DAY($I$16), "00"), "5N", "strike")</f>
        <v>255</v>
      </c>
      <c r="C84" s="58" cm="1">
        <f t="array" ref="C84:J84">_xldudf_OPTIONSAMURAI_OPTION($D$3, TRIM(RIGHT($D$4,4)), YEAR($I$16) &amp; "-" &amp; TEXT(MONTH($I$16), "00") &amp; "-" &amp; TEXT(DAY($I$16), "00"), E32, "bid", "ask", "mid","bid_ask_spread_pc","prob_otm","open_interest","volume","option_volume_power")</f>
        <v>21.1</v>
      </c>
      <c r="D84" s="59">
        <v>21.45</v>
      </c>
      <c r="E84" s="59">
        <v>21.274999999999999</v>
      </c>
      <c r="F84" s="60">
        <v>1.6451E-2</v>
      </c>
      <c r="G84" s="60">
        <v>0.11158999999999999</v>
      </c>
      <c r="H84" s="59">
        <v>36</v>
      </c>
      <c r="I84" s="59">
        <v>11</v>
      </c>
      <c r="J84" s="88">
        <v>0.30555599999999999</v>
      </c>
      <c r="K84" s="71" cm="1">
        <f t="array" ref="K84:P84">_xldudf_OPTIONSAMURAI_OPTION($D$3, TRIM(RIGHT($D$4,4)), YEAR($I$16) &amp; "-" &amp; TEXT(MONTH($I$16), "00") &amp; "-" &amp; TEXT(DAY($I$16), "00"), E32, "delta","theta","vega","iv","extrinsic_value","intrinsic_value")</f>
        <v>-0.85229999999999995</v>
      </c>
      <c r="L84" s="71">
        <v>-3.4554000000000001E-2</v>
      </c>
      <c r="M84" s="71">
        <v>0.16719600000000001</v>
      </c>
      <c r="N84" s="71">
        <v>0.24399399999999999</v>
      </c>
      <c r="O84" s="66">
        <v>0.34499999999999997</v>
      </c>
      <c r="P84" s="67">
        <v>20.93</v>
      </c>
      <c r="Q84" s="71">
        <f t="shared" si="18"/>
        <v>0.80168399999999995</v>
      </c>
      <c r="R84" s="71">
        <f t="shared" si="19"/>
        <v>-3.1880999999999993E-2</v>
      </c>
      <c r="S84" s="71">
        <f t="shared" si="20"/>
        <v>-0.13350500000000001</v>
      </c>
      <c r="T84" s="71">
        <f t="shared" si="21"/>
        <v>3.6322999999999994E-2</v>
      </c>
      <c r="U84" s="66">
        <f t="shared" si="22"/>
        <v>-0.14999999999999997</v>
      </c>
      <c r="V84" s="67">
        <f t="shared" si="23"/>
        <v>-20.93</v>
      </c>
    </row>
    <row r="85" spans="2:22" hidden="1" x14ac:dyDescent="0.2">
      <c r="B85" s="58" cm="1">
        <f t="array" ref="B85">_xldudf_OPTIONSAMURAI_OPTION(D3,TRIM(RIGHT(D4,4)), YEAR($I$16) &amp; "-" &amp; TEXT(MONTH($I$16), "00") &amp; "-" &amp; TEXT(DAY($I$16), "00"), "6N", "strike")</f>
        <v>260</v>
      </c>
      <c r="C85" s="58" cm="1">
        <f t="array" ref="C85:J85">_xldudf_OPTIONSAMURAI_OPTION($D$3, TRIM(RIGHT($D$4,4)), YEAR($I$16) &amp; "-" &amp; TEXT(MONTH($I$16), "00") &amp; "-" &amp; TEXT(DAY($I$16), "00"), E33, "bid", "ask", "mid","bid_ask_spread_pc","prob_otm","open_interest","volume","option_volume_power")</f>
        <v>25.75</v>
      </c>
      <c r="D85" s="59">
        <v>26.2</v>
      </c>
      <c r="E85" s="59">
        <v>25.975000000000001</v>
      </c>
      <c r="F85" s="60">
        <v>1.7323999999999999E-2</v>
      </c>
      <c r="G85" s="60">
        <v>6.6962999999999995E-2</v>
      </c>
      <c r="H85" s="59">
        <v>4</v>
      </c>
      <c r="I85" s="59">
        <v>2</v>
      </c>
      <c r="J85" s="88">
        <v>0.5</v>
      </c>
      <c r="K85" s="71" cm="1">
        <f t="array" ref="K85:P85">_xldudf_OPTIONSAMURAI_OPTION($D$3, TRIM(RIGHT($D$4,4)), YEAR($I$16) &amp; "-" &amp; TEXT(MONTH($I$16), "00") &amp; "-" &amp; TEXT(DAY($I$16), "00"), E33, "delta","theta","vega","iv","extrinsic_value","intrinsic_value")</f>
        <v>-0.88585599999999998</v>
      </c>
      <c r="L85" s="71">
        <v>-2.7428999999999999E-2</v>
      </c>
      <c r="M85" s="71">
        <v>0.13988800000000001</v>
      </c>
      <c r="N85" s="71">
        <v>0.26275700000000002</v>
      </c>
      <c r="O85" s="66">
        <v>4.4999999999999998E-2</v>
      </c>
      <c r="P85" s="67">
        <v>25.93</v>
      </c>
      <c r="Q85" s="71">
        <f t="shared" si="18"/>
        <v>0.83523999999999998</v>
      </c>
      <c r="R85" s="71">
        <f t="shared" si="19"/>
        <v>-3.9005999999999999E-2</v>
      </c>
      <c r="S85" s="71">
        <f t="shared" si="20"/>
        <v>-0.10619700000000001</v>
      </c>
      <c r="T85" s="71">
        <f t="shared" si="21"/>
        <v>1.7559999999999965E-2</v>
      </c>
      <c r="U85" s="66">
        <f t="shared" si="22"/>
        <v>0.15000000000000002</v>
      </c>
      <c r="V85" s="67">
        <f t="shared" si="23"/>
        <v>-25.93</v>
      </c>
    </row>
    <row r="86" spans="2:22" hidden="1" x14ac:dyDescent="0.2">
      <c r="B86" s="58" cm="1">
        <f t="array" ref="B86">_xldudf_OPTIONSAMURAI_OPTION(D3,TRIM(RIGHT(D4,4)), YEAR($I$16) &amp; "-" &amp; TEXT(MONTH($I$16), "00") &amp; "-" &amp; TEXT(DAY($I$16), "00"), "7N", "strike")</f>
        <v>265</v>
      </c>
      <c r="C86" s="58" cm="1">
        <f t="array" ref="C86:J86">_xldudf_OPTIONSAMURAI_OPTION($D$3, TRIM(RIGHT($D$4,4)), YEAR($I$16) &amp; "-" &amp; TEXT(MONTH($I$16), "00") &amp; "-" &amp; TEXT(DAY($I$16), "00"), E34, "bid", "ask", "mid","bid_ask_spread_pc","prob_otm","open_interest","volume","option_volume_power")</f>
        <v>30.45</v>
      </c>
      <c r="D86" s="59">
        <v>31.2</v>
      </c>
      <c r="E86" s="59">
        <v>30.824999999999999</v>
      </c>
      <c r="F86" s="60">
        <v>2.4330999999999998E-2</v>
      </c>
      <c r="G86" s="60">
        <v>3.8020999999999999E-2</v>
      </c>
      <c r="H86" s="59">
        <v>3</v>
      </c>
      <c r="I86" s="59">
        <v>2</v>
      </c>
      <c r="J86" s="88">
        <v>0.66666700000000001</v>
      </c>
      <c r="K86" s="71" cm="1">
        <f t="array" ref="K86:P86">_xldudf_OPTIONSAMURAI_OPTION($D$3, TRIM(RIGHT($D$4,4)), YEAR($I$16) &amp; "-" &amp; TEXT(MONTH($I$16), "00") &amp; "-" &amp; TEXT(DAY($I$16), "00"), E34, "delta","theta","vega","iv","extrinsic_value","intrinsic_value")</f>
        <v>-0.90511200000000003</v>
      </c>
      <c r="L86" s="71">
        <v>-2.4039999999999999E-2</v>
      </c>
      <c r="M86" s="71">
        <v>0.122354</v>
      </c>
      <c r="N86" s="71">
        <v>0.286796</v>
      </c>
      <c r="O86" s="66">
        <v>-0.105</v>
      </c>
      <c r="P86" s="67">
        <v>30.93</v>
      </c>
      <c r="Q86" s="71">
        <f t="shared" si="18"/>
        <v>0.85449600000000003</v>
      </c>
      <c r="R86" s="71">
        <f t="shared" si="19"/>
        <v>-4.2394999999999995E-2</v>
      </c>
      <c r="S86" s="71">
        <f t="shared" si="20"/>
        <v>-8.8663000000000006E-2</v>
      </c>
      <c r="T86" s="71">
        <f t="shared" si="21"/>
        <v>-6.4790000000000125E-3</v>
      </c>
      <c r="U86" s="66">
        <f t="shared" si="22"/>
        <v>0.3</v>
      </c>
      <c r="V86" s="67">
        <f t="shared" si="23"/>
        <v>-30.93</v>
      </c>
    </row>
    <row r="87" spans="2:22" hidden="1" x14ac:dyDescent="0.2">
      <c r="B87" s="58" cm="1">
        <f t="array" ref="B87">_xldudf_OPTIONSAMURAI_OPTION(D3,TRIM(RIGHT(D4,4)), YEAR($I$16) &amp; "-" &amp; TEXT(MONTH($I$16), "00") &amp; "-" &amp; TEXT(DAY($I$16), "00"), "8N", "strike")</f>
        <v>270</v>
      </c>
      <c r="C87" s="58" cm="1">
        <f t="array" ref="C87:J87">_xldudf_OPTIONSAMURAI_OPTION($D$3, TRIM(RIGHT($D$4,4)), YEAR($I$16) &amp; "-" &amp; TEXT(MONTH($I$16), "00") &amp; "-" &amp; TEXT(DAY($I$16), "00"), E35, "bid", "ask", "mid","bid_ask_spread_pc","prob_otm","open_interest","volume","option_volume_power")</f>
        <v>35.6</v>
      </c>
      <c r="D87" s="59">
        <v>36.200000000000003</v>
      </c>
      <c r="E87" s="59">
        <v>35.9</v>
      </c>
      <c r="F87" s="60">
        <v>1.6712999999999999E-2</v>
      </c>
      <c r="G87" s="60">
        <v>2.0461E-2</v>
      </c>
      <c r="H87" s="59">
        <v>1</v>
      </c>
      <c r="I87" s="59">
        <v>0</v>
      </c>
      <c r="J87" s="88">
        <v>0</v>
      </c>
      <c r="K87" s="71" cm="1">
        <f t="array" ref="K87:P87">_xldudf_OPTIONSAMURAI_OPTION($D$3, TRIM(RIGHT($D$4,4)), YEAR($I$16) &amp; "-" &amp; TEXT(MONTH($I$16), "00") &amp; "-" &amp; TEXT(DAY($I$16), "00"), E35, "delta","theta","vega","iv","extrinsic_value","intrinsic_value")</f>
        <v>-0.90714899999999998</v>
      </c>
      <c r="L87" s="71">
        <v>-2.955E-2</v>
      </c>
      <c r="M87" s="71">
        <v>0.120409</v>
      </c>
      <c r="N87" s="71">
        <v>0.32691100000000001</v>
      </c>
      <c r="O87" s="66">
        <v>-0.03</v>
      </c>
      <c r="P87" s="67">
        <v>35.93</v>
      </c>
      <c r="Q87" s="71">
        <f t="shared" si="18"/>
        <v>0.85653299999999999</v>
      </c>
      <c r="R87" s="71">
        <f t="shared" si="19"/>
        <v>-3.6884999999999994E-2</v>
      </c>
      <c r="S87" s="71">
        <f t="shared" si="20"/>
        <v>-8.6718000000000003E-2</v>
      </c>
      <c r="T87" s="71">
        <f t="shared" si="21"/>
        <v>-4.6594000000000024E-2</v>
      </c>
      <c r="U87" s="66">
        <f t="shared" si="22"/>
        <v>0.22500000000000001</v>
      </c>
      <c r="V87" s="67">
        <f t="shared" si="23"/>
        <v>-35.93</v>
      </c>
    </row>
    <row r="88" spans="2:22" hidden="1" x14ac:dyDescent="0.2">
      <c r="B88" s="58" cm="1">
        <f t="array" ref="B88">_xldudf_OPTIONSAMURAI_OPTION(D3,TRIM(RIGHT(D4,4)), YEAR($I$16) &amp; "-" &amp; TEXT(MONTH($I$16), "00") &amp; "-" &amp; TEXT(DAY($I$16), "00"), "9N", "strike")</f>
        <v>275</v>
      </c>
      <c r="C88" s="58" cm="1">
        <f t="array" ref="C88:J88">_xldudf_OPTIONSAMURAI_OPTION($D$3, TRIM(RIGHT($D$4,4)), YEAR($I$16) &amp; "-" &amp; TEXT(MONTH($I$16), "00") &amp; "-" &amp; TEXT(DAY($I$16), "00"), E36, "bid", "ask", "mid","bid_ask_spread_pc","prob_otm","open_interest","volume","option_volume_power")</f>
        <v>40.75</v>
      </c>
      <c r="D88" s="59">
        <v>41.2</v>
      </c>
      <c r="E88" s="59">
        <v>40.975000000000001</v>
      </c>
      <c r="F88" s="60">
        <v>1.0982E-2</v>
      </c>
      <c r="G88" s="60">
        <v>1.0456E-2</v>
      </c>
      <c r="H88" s="59">
        <v>0</v>
      </c>
      <c r="I88" s="59">
        <v>0</v>
      </c>
      <c r="J88" s="88" t="str">
        <v>N/A</v>
      </c>
      <c r="K88" s="71" cm="1">
        <f t="array" ref="K88:P88">_xldudf_OPTIONSAMURAI_OPTION($D$3, TRIM(RIGHT($D$4,4)), YEAR($I$16) &amp; "-" &amp; TEXT(MONTH($I$16), "00") &amp; "-" &amp; TEXT(DAY($I$16), "00"), E36, "delta","theta","vega","iv","extrinsic_value","intrinsic_value")</f>
        <v>-0.908524</v>
      </c>
      <c r="L88" s="71">
        <v>-3.5042999999999998E-2</v>
      </c>
      <c r="M88" s="71">
        <v>0.119086</v>
      </c>
      <c r="N88" s="71">
        <v>0.36621599999999999</v>
      </c>
      <c r="O88" s="66">
        <v>4.4999999999999998E-2</v>
      </c>
      <c r="P88" s="67">
        <v>40.93</v>
      </c>
      <c r="Q88" s="71">
        <f t="shared" si="18"/>
        <v>0.857908</v>
      </c>
      <c r="R88" s="71">
        <f t="shared" si="19"/>
        <v>-3.1391999999999996E-2</v>
      </c>
      <c r="S88" s="71">
        <f t="shared" si="20"/>
        <v>-8.5394999999999999E-2</v>
      </c>
      <c r="T88" s="71">
        <f t="shared" si="21"/>
        <v>-8.5899000000000003E-2</v>
      </c>
      <c r="U88" s="66">
        <f t="shared" si="22"/>
        <v>0.15000000000000002</v>
      </c>
      <c r="V88" s="67">
        <f t="shared" si="23"/>
        <v>-40.93</v>
      </c>
    </row>
    <row r="89" spans="2:22" ht="17" hidden="1" thickBot="1" x14ac:dyDescent="0.25">
      <c r="B89" s="61" cm="1">
        <f t="array" ref="B89">_xldudf_OPTIONSAMURAI_OPTION(D3,TRIM(RIGHT(D4,4)), YEAR($I$16) &amp; "-" &amp; TEXT(MONTH($I$16), "00") &amp; "-" &amp; TEXT(DAY($I$16), "00"), "10N", "strike")</f>
        <v>280</v>
      </c>
      <c r="C89" s="61" cm="1">
        <f t="array" ref="C89:J89">_xldudf_OPTIONSAMURAI_OPTION($D$3, TRIM(RIGHT($D$4,4)), YEAR($I$16) &amp; "-" &amp; TEXT(MONTH($I$16), "00") &amp; "-" &amp; TEXT(DAY($I$16), "00"), E37, "bid", "ask", "mid","bid_ask_spread_pc","prob_otm","open_interest","volume","option_volume_power")</f>
        <v>45.6</v>
      </c>
      <c r="D89" s="62">
        <v>46.2</v>
      </c>
      <c r="E89" s="62">
        <v>45.9</v>
      </c>
      <c r="F89" s="63">
        <v>1.3072E-2</v>
      </c>
      <c r="G89" s="63">
        <v>5.0850000000000001E-3</v>
      </c>
      <c r="H89" s="62">
        <v>0</v>
      </c>
      <c r="I89" s="62">
        <v>0</v>
      </c>
      <c r="J89" s="89" t="str">
        <v>N/A</v>
      </c>
      <c r="K89" s="72" cm="1">
        <f t="array" ref="K89:P89">_xldudf_OPTIONSAMURAI_OPTION($D$3, TRIM(RIGHT($D$4,4)), YEAR($I$16) &amp; "-" &amp; TEXT(MONTH($I$16), "00") &amp; "-" &amp; TEXT(DAY($I$16), "00"), E37, "delta","theta","vega","iv","extrinsic_value","intrinsic_value")</f>
        <v>-0.91716200000000003</v>
      </c>
      <c r="L89" s="72">
        <v>-3.3864999999999999E-2</v>
      </c>
      <c r="M89" s="72">
        <v>0.110583</v>
      </c>
      <c r="N89" s="72">
        <v>0.391656</v>
      </c>
      <c r="O89" s="68">
        <v>-0.03</v>
      </c>
      <c r="P89" s="69">
        <v>45.93</v>
      </c>
      <c r="Q89" s="72">
        <f t="shared" si="18"/>
        <v>0.86654600000000004</v>
      </c>
      <c r="R89" s="72">
        <f t="shared" si="19"/>
        <v>-3.2569999999999995E-2</v>
      </c>
      <c r="S89" s="72">
        <f t="shared" si="20"/>
        <v>-7.6892000000000002E-2</v>
      </c>
      <c r="T89" s="72">
        <f t="shared" si="21"/>
        <v>-0.11133900000000002</v>
      </c>
      <c r="U89" s="68">
        <f t="shared" si="22"/>
        <v>0.22500000000000001</v>
      </c>
      <c r="V89" s="69">
        <f t="shared" si="23"/>
        <v>-45.93</v>
      </c>
    </row>
    <row r="90" spans="2:22" hidden="1" x14ac:dyDescent="0.2"/>
    <row r="91" spans="2:22" hidden="1" x14ac:dyDescent="0.2"/>
    <row r="92" spans="2:22" hidden="1" x14ac:dyDescent="0.2"/>
    <row r="93" spans="2:22" ht="17" hidden="1" thickBot="1" x14ac:dyDescent="0.25">
      <c r="D93" s="11" t="s">
        <v>28</v>
      </c>
    </row>
    <row r="94" spans="2:22" ht="26" hidden="1" thickBot="1" x14ac:dyDescent="0.35">
      <c r="D94" s="10" t="s">
        <v>27</v>
      </c>
      <c r="E94" s="24">
        <f>C20</f>
        <v>235</v>
      </c>
      <c r="H94" s="114" t="s">
        <v>29</v>
      </c>
      <c r="I94" s="114"/>
      <c r="J94" s="114"/>
      <c r="K94" s="25">
        <f>IF($D$4="Long Call",$D$5+$D$7,
IF($D$4="Short Call",$D$5+$D$7,
IF($D$4="Long Put",$D$5-$D$7,
IF($D$4="Short Put",$D$5-$D$7,""))))</f>
        <v>216.9</v>
      </c>
      <c r="M94" s="114" t="s">
        <v>30</v>
      </c>
      <c r="N94" s="114"/>
      <c r="O94" s="114"/>
      <c r="P94" s="25">
        <f>IF($D$4="Long Call",$E$94+VLOOKUP($E$94,$E$18:$H$37,4,FALSE),
IF($D$4="Short Call",$E$94+VLOOKUP($E$94,$E$18:$H$37,4,FALSE),
IF($D$4="Long Put",$E$94-VLOOKUP($E$94,$E$18:$H$37,4,FALSE),
IF($D$4="Short Put",$E$94-VLOOKUP($E$94,$E$18:$H$37,4,FALSE),""))))</f>
        <v>228.55</v>
      </c>
    </row>
    <row r="95" spans="2:22" hidden="1" x14ac:dyDescent="0.2"/>
    <row r="96" spans="2:22" ht="136" hidden="1" x14ac:dyDescent="0.2">
      <c r="D96" s="22" t="s">
        <v>23</v>
      </c>
      <c r="E96" s="23" t="s">
        <v>24</v>
      </c>
      <c r="F96" s="23" t="s">
        <v>25</v>
      </c>
      <c r="G96" s="21" t="s">
        <v>44</v>
      </c>
      <c r="H96" s="23" t="s">
        <v>42</v>
      </c>
      <c r="I96" s="90" t="s">
        <v>43</v>
      </c>
    </row>
    <row r="97" spans="4:9" hidden="1" x14ac:dyDescent="0.2">
      <c r="D97" s="12">
        <f>$E$12*0.7</f>
        <v>163.84899999999999</v>
      </c>
      <c r="E97" s="13">
        <f>IF($D$4="Long Call",(MAX(0,D97-$D$5)-$D$7)*100,
IF($D$4="Short Call",($D$7-MAX(0,D97-$D$5))*100,
IF($D$4="Long Put",(MAX(0,$D$5-D97)-$D$7)*100,
IF($D$4="Short Put",($D$7-MAX(0,$D$5-D97))*100,
""))))</f>
        <v>5305.1000000000013</v>
      </c>
      <c r="F97" s="13">
        <f>IF($D$4="Long Call",(MAX(0,D97-$E$94)-VLOOKUP($E$94,$E$18:$H$37,4,FALSE))*100,
IF($D$4="Short Call",(VLOOKUP($E$94,$E$18:$H$37,4,FALSE)-MAX(0,D97-$E$94))*100,
IF($D$4="Long Put",(MAX(0,$E$94-D97)-VLOOKUP($E$94,$E$18:$H$37,4,FALSE))*100,
IF($D$4="Short Put",(VLOOKUP($E$94,$E$18:$H$37,4,FALSE)-MAX(0,$E$94-D97))*100,
""))))</f>
        <v>6470.1</v>
      </c>
      <c r="G97" s="14">
        <f>E97+F97</f>
        <v>11775.2</v>
      </c>
      <c r="H97" s="14">
        <f>IF(OR($D$4="Long Call",$D$4="Long Put"),
    ($G$12 - $D$7) * 100,
    ($D$7 - $H$12) * 100
)</f>
        <v>-291</v>
      </c>
      <c r="I97" s="14">
        <f>G97+H97</f>
        <v>11484.2</v>
      </c>
    </row>
    <row r="98" spans="4:9" hidden="1" x14ac:dyDescent="0.2">
      <c r="D98" s="15">
        <f>$E$12*0.71</f>
        <v>166.18969999999999</v>
      </c>
      <c r="E98" s="16">
        <f t="shared" ref="E98:E157" si="24">IF($D$4="Long Call",(MAX(0,D98-$D$5)-$D$7)*100,
IF($D$4="Short Call",($D$7-MAX(0,D98-$D$5))*100,
IF($D$4="Long Put",(MAX(0,$D$5-D98)-$D$7)*100,
IF($D$4="Short Put",($D$7-MAX(0,$D$5-D98))*100,
""))))</f>
        <v>5071.0300000000007</v>
      </c>
      <c r="F98" s="16">
        <f t="shared" ref="F98:F157" si="25">IF($D$4="Long Call",(MAX(0,D98-$E$94)-VLOOKUP($E$94,$E$18:$H$37,4,FALSE))*100,
IF($D$4="Short Call",(VLOOKUP($E$94,$E$18:$H$37,4,FALSE)-MAX(0,D98-$E$94))*100,
IF($D$4="Long Put",(MAX(0,$E$94-D98)-VLOOKUP($E$94,$E$18:$H$37,4,FALSE))*100,
IF($D$4="Short Put",(VLOOKUP($E$94,$E$18:$H$37,4,FALSE)-MAX(0,$E$94-D98))*100,
""))))</f>
        <v>6236.0300000000007</v>
      </c>
      <c r="G98" s="17">
        <f t="shared" ref="G98:G157" si="26">E98+F98</f>
        <v>11307.060000000001</v>
      </c>
      <c r="H98" s="17">
        <f t="shared" ref="H98:H157" si="27">IF(OR($D$4="Long Call",$D$4="Long Put"),
    ($G$12 - $D$7) * 100,
    ($D$7 - $H$12) * 100
)</f>
        <v>-291</v>
      </c>
      <c r="I98" s="17">
        <f t="shared" ref="I98:I157" si="28">G98+H98</f>
        <v>11016.060000000001</v>
      </c>
    </row>
    <row r="99" spans="4:9" hidden="1" x14ac:dyDescent="0.2">
      <c r="D99" s="15">
        <f>$E$12*0.72</f>
        <v>168.53039999999999</v>
      </c>
      <c r="E99" s="16">
        <f t="shared" si="24"/>
        <v>4836.9600000000009</v>
      </c>
      <c r="F99" s="16">
        <f t="shared" si="25"/>
        <v>6001.9600000000009</v>
      </c>
      <c r="G99" s="17">
        <f t="shared" si="26"/>
        <v>10838.920000000002</v>
      </c>
      <c r="H99" s="17">
        <f t="shared" si="27"/>
        <v>-291</v>
      </c>
      <c r="I99" s="17">
        <f t="shared" si="28"/>
        <v>10547.920000000002</v>
      </c>
    </row>
    <row r="100" spans="4:9" hidden="1" x14ac:dyDescent="0.2">
      <c r="D100" s="15">
        <f>$E$12*0.73</f>
        <v>170.87109999999998</v>
      </c>
      <c r="E100" s="16">
        <f t="shared" si="24"/>
        <v>4602.8900000000012</v>
      </c>
      <c r="F100" s="16">
        <f t="shared" si="25"/>
        <v>5767.8900000000012</v>
      </c>
      <c r="G100" s="17">
        <f t="shared" si="26"/>
        <v>10370.780000000002</v>
      </c>
      <c r="H100" s="17">
        <f t="shared" si="27"/>
        <v>-291</v>
      </c>
      <c r="I100" s="17">
        <f t="shared" si="28"/>
        <v>10079.780000000002</v>
      </c>
    </row>
    <row r="101" spans="4:9" hidden="1" x14ac:dyDescent="0.2">
      <c r="D101" s="15">
        <f>$E$12*0.74</f>
        <v>173.21179999999998</v>
      </c>
      <c r="E101" s="16">
        <f t="shared" si="24"/>
        <v>4368.8200000000015</v>
      </c>
      <c r="F101" s="16">
        <f t="shared" si="25"/>
        <v>5533.8200000000015</v>
      </c>
      <c r="G101" s="17">
        <f t="shared" si="26"/>
        <v>9902.6400000000031</v>
      </c>
      <c r="H101" s="17">
        <f t="shared" si="27"/>
        <v>-291</v>
      </c>
      <c r="I101" s="17">
        <f t="shared" si="28"/>
        <v>9611.6400000000031</v>
      </c>
    </row>
    <row r="102" spans="4:9" hidden="1" x14ac:dyDescent="0.2">
      <c r="D102" s="15">
        <f>$E$12*0.75</f>
        <v>175.55250000000001</v>
      </c>
      <c r="E102" s="16">
        <f t="shared" si="24"/>
        <v>4134.7499999999991</v>
      </c>
      <c r="F102" s="16">
        <f t="shared" si="25"/>
        <v>5299.7499999999991</v>
      </c>
      <c r="G102" s="17">
        <f t="shared" si="26"/>
        <v>9434.4999999999982</v>
      </c>
      <c r="H102" s="17">
        <f t="shared" si="27"/>
        <v>-291</v>
      </c>
      <c r="I102" s="17">
        <f t="shared" si="28"/>
        <v>9143.4999999999982</v>
      </c>
    </row>
    <row r="103" spans="4:9" hidden="1" x14ac:dyDescent="0.2">
      <c r="D103" s="15">
        <f>$E$12*0.76</f>
        <v>177.89320000000001</v>
      </c>
      <c r="E103" s="16">
        <f t="shared" si="24"/>
        <v>3900.6799999999989</v>
      </c>
      <c r="F103" s="16">
        <f t="shared" si="25"/>
        <v>5065.6799999999994</v>
      </c>
      <c r="G103" s="17">
        <f t="shared" si="26"/>
        <v>8966.3599999999988</v>
      </c>
      <c r="H103" s="17">
        <f t="shared" si="27"/>
        <v>-291</v>
      </c>
      <c r="I103" s="17">
        <f t="shared" si="28"/>
        <v>8675.3599999999988</v>
      </c>
    </row>
    <row r="104" spans="4:9" hidden="1" x14ac:dyDescent="0.2">
      <c r="D104" s="15">
        <f>$E$12*0.77</f>
        <v>180.23390000000001</v>
      </c>
      <c r="E104" s="16">
        <f t="shared" si="24"/>
        <v>3666.6099999999992</v>
      </c>
      <c r="F104" s="16">
        <f t="shared" si="25"/>
        <v>4831.6099999999988</v>
      </c>
      <c r="G104" s="17">
        <f t="shared" si="26"/>
        <v>8498.2199999999975</v>
      </c>
      <c r="H104" s="17">
        <f t="shared" si="27"/>
        <v>-291</v>
      </c>
      <c r="I104" s="17">
        <f t="shared" si="28"/>
        <v>8207.2199999999975</v>
      </c>
    </row>
    <row r="105" spans="4:9" hidden="1" x14ac:dyDescent="0.2">
      <c r="D105" s="15">
        <f>$E$12*0.78</f>
        <v>182.5746</v>
      </c>
      <c r="E105" s="16">
        <f t="shared" si="24"/>
        <v>3432.5399999999995</v>
      </c>
      <c r="F105" s="16">
        <f t="shared" si="25"/>
        <v>4597.5399999999991</v>
      </c>
      <c r="G105" s="17">
        <f t="shared" si="26"/>
        <v>8030.0799999999981</v>
      </c>
      <c r="H105" s="17">
        <f t="shared" si="27"/>
        <v>-291</v>
      </c>
      <c r="I105" s="17">
        <f t="shared" si="28"/>
        <v>7739.0799999999981</v>
      </c>
    </row>
    <row r="106" spans="4:9" hidden="1" x14ac:dyDescent="0.2">
      <c r="D106" s="15">
        <f>$E$12*0.79</f>
        <v>184.9153</v>
      </c>
      <c r="E106" s="16">
        <f t="shared" si="24"/>
        <v>3198.47</v>
      </c>
      <c r="F106" s="16">
        <f t="shared" si="25"/>
        <v>4363.4699999999993</v>
      </c>
      <c r="G106" s="17">
        <f t="shared" si="26"/>
        <v>7561.9399999999987</v>
      </c>
      <c r="H106" s="17">
        <f t="shared" si="27"/>
        <v>-291</v>
      </c>
      <c r="I106" s="17">
        <f t="shared" si="28"/>
        <v>7270.9399999999987</v>
      </c>
    </row>
    <row r="107" spans="4:9" hidden="1" x14ac:dyDescent="0.2">
      <c r="D107" s="15">
        <f>$E$12*0.8</f>
        <v>187.256</v>
      </c>
      <c r="E107" s="16">
        <f t="shared" si="24"/>
        <v>2964.3999999999996</v>
      </c>
      <c r="F107" s="16">
        <f t="shared" si="25"/>
        <v>4129.3999999999996</v>
      </c>
      <c r="G107" s="17">
        <f t="shared" si="26"/>
        <v>7093.7999999999993</v>
      </c>
      <c r="H107" s="17">
        <f t="shared" si="27"/>
        <v>-291</v>
      </c>
      <c r="I107" s="17">
        <f t="shared" si="28"/>
        <v>6802.7999999999993</v>
      </c>
    </row>
    <row r="108" spans="4:9" hidden="1" x14ac:dyDescent="0.2">
      <c r="D108" s="15">
        <f>$E$12*0.81</f>
        <v>189.5967</v>
      </c>
      <c r="E108" s="16">
        <f t="shared" si="24"/>
        <v>2730.33</v>
      </c>
      <c r="F108" s="16">
        <f t="shared" si="25"/>
        <v>3895.33</v>
      </c>
      <c r="G108" s="17">
        <f t="shared" si="26"/>
        <v>6625.66</v>
      </c>
      <c r="H108" s="17">
        <f t="shared" si="27"/>
        <v>-291</v>
      </c>
      <c r="I108" s="17">
        <f t="shared" si="28"/>
        <v>6334.66</v>
      </c>
    </row>
    <row r="109" spans="4:9" hidden="1" x14ac:dyDescent="0.2">
      <c r="D109" s="15">
        <f>$E$12*0.82</f>
        <v>191.9374</v>
      </c>
      <c r="E109" s="16">
        <f t="shared" si="24"/>
        <v>2496.2600000000002</v>
      </c>
      <c r="F109" s="16">
        <f t="shared" si="25"/>
        <v>3661.26</v>
      </c>
      <c r="G109" s="17">
        <f t="shared" si="26"/>
        <v>6157.52</v>
      </c>
      <c r="H109" s="17">
        <f t="shared" si="27"/>
        <v>-291</v>
      </c>
      <c r="I109" s="17">
        <f t="shared" si="28"/>
        <v>5866.52</v>
      </c>
    </row>
    <row r="110" spans="4:9" hidden="1" x14ac:dyDescent="0.2">
      <c r="D110" s="15">
        <f>$E$12*0.83</f>
        <v>194.27809999999999</v>
      </c>
      <c r="E110" s="16">
        <f t="shared" si="24"/>
        <v>2262.1900000000005</v>
      </c>
      <c r="F110" s="16">
        <f t="shared" si="25"/>
        <v>3427.19</v>
      </c>
      <c r="G110" s="17">
        <f t="shared" si="26"/>
        <v>5689.380000000001</v>
      </c>
      <c r="H110" s="17">
        <f t="shared" si="27"/>
        <v>-291</v>
      </c>
      <c r="I110" s="17">
        <f t="shared" si="28"/>
        <v>5398.380000000001</v>
      </c>
    </row>
    <row r="111" spans="4:9" hidden="1" x14ac:dyDescent="0.2">
      <c r="D111" s="15">
        <f>$E$12*0.84</f>
        <v>196.61879999999999</v>
      </c>
      <c r="E111" s="16">
        <f t="shared" si="24"/>
        <v>2028.1200000000006</v>
      </c>
      <c r="F111" s="16">
        <f t="shared" si="25"/>
        <v>3193.1200000000008</v>
      </c>
      <c r="G111" s="17">
        <f t="shared" si="26"/>
        <v>5221.2400000000016</v>
      </c>
      <c r="H111" s="17">
        <f t="shared" si="27"/>
        <v>-291</v>
      </c>
      <c r="I111" s="17">
        <f t="shared" si="28"/>
        <v>4930.2400000000016</v>
      </c>
    </row>
    <row r="112" spans="4:9" hidden="1" x14ac:dyDescent="0.2">
      <c r="D112" s="15">
        <f>$E$12*0.85</f>
        <v>198.95949999999999</v>
      </c>
      <c r="E112" s="16">
        <f t="shared" si="24"/>
        <v>1794.0500000000006</v>
      </c>
      <c r="F112" s="16">
        <f t="shared" si="25"/>
        <v>2959.0500000000011</v>
      </c>
      <c r="G112" s="17">
        <f t="shared" si="26"/>
        <v>4753.1000000000022</v>
      </c>
      <c r="H112" s="17">
        <f t="shared" si="27"/>
        <v>-291</v>
      </c>
      <c r="I112" s="17">
        <f t="shared" si="28"/>
        <v>4462.1000000000022</v>
      </c>
    </row>
    <row r="113" spans="4:13" hidden="1" x14ac:dyDescent="0.2">
      <c r="D113" s="15">
        <f>$E$12*0.86</f>
        <v>201.30019999999999</v>
      </c>
      <c r="E113" s="16">
        <f t="shared" si="24"/>
        <v>1559.9800000000012</v>
      </c>
      <c r="F113" s="16">
        <f t="shared" si="25"/>
        <v>2724.9800000000009</v>
      </c>
      <c r="G113" s="17">
        <f t="shared" si="26"/>
        <v>4284.9600000000019</v>
      </c>
      <c r="H113" s="17">
        <f t="shared" si="27"/>
        <v>-291</v>
      </c>
      <c r="I113" s="17">
        <f t="shared" si="28"/>
        <v>3993.9600000000019</v>
      </c>
    </row>
    <row r="114" spans="4:13" hidden="1" x14ac:dyDescent="0.2">
      <c r="D114" s="15">
        <f>$E$12*0.87</f>
        <v>203.64089999999999</v>
      </c>
      <c r="E114" s="16">
        <f t="shared" si="24"/>
        <v>1325.9100000000012</v>
      </c>
      <c r="F114" s="16">
        <f t="shared" si="25"/>
        <v>2490.9100000000012</v>
      </c>
      <c r="G114" s="17">
        <f t="shared" si="26"/>
        <v>3816.8200000000024</v>
      </c>
      <c r="H114" s="17">
        <f t="shared" si="27"/>
        <v>-291</v>
      </c>
      <c r="I114" s="17">
        <f t="shared" si="28"/>
        <v>3525.8200000000024</v>
      </c>
    </row>
    <row r="115" spans="4:13" ht="17" hidden="1" thickBot="1" x14ac:dyDescent="0.25">
      <c r="D115" s="15">
        <f>$E$12*0.88</f>
        <v>205.98159999999999</v>
      </c>
      <c r="E115" s="16">
        <f t="shared" si="24"/>
        <v>1091.8400000000015</v>
      </c>
      <c r="F115" s="16">
        <f t="shared" si="25"/>
        <v>2256.8400000000015</v>
      </c>
      <c r="G115" s="17">
        <f t="shared" si="26"/>
        <v>3348.680000000003</v>
      </c>
      <c r="H115" s="17">
        <f t="shared" si="27"/>
        <v>-291</v>
      </c>
      <c r="I115" s="17">
        <f t="shared" si="28"/>
        <v>3057.680000000003</v>
      </c>
    </row>
    <row r="116" spans="4:13" ht="26" hidden="1" customHeight="1" thickBot="1" x14ac:dyDescent="0.35">
      <c r="D116" s="15">
        <f>$E$12*0.89</f>
        <v>208.32229999999998</v>
      </c>
      <c r="E116" s="16">
        <f t="shared" si="24"/>
        <v>857.77000000000157</v>
      </c>
      <c r="F116" s="16">
        <f t="shared" si="25"/>
        <v>2022.7700000000016</v>
      </c>
      <c r="G116" s="17">
        <f t="shared" si="26"/>
        <v>2880.5400000000031</v>
      </c>
      <c r="H116" s="17">
        <f t="shared" si="27"/>
        <v>-291</v>
      </c>
      <c r="I116" s="17">
        <f t="shared" si="28"/>
        <v>2589.5400000000031</v>
      </c>
      <c r="L116" s="112" t="s">
        <v>50</v>
      </c>
      <c r="M116" s="113"/>
    </row>
    <row r="117" spans="4:13" ht="17" hidden="1" x14ac:dyDescent="0.2">
      <c r="D117" s="15">
        <f>$E$12*0.9</f>
        <v>210.66300000000001</v>
      </c>
      <c r="E117" s="16">
        <f t="shared" si="24"/>
        <v>623.69999999999891</v>
      </c>
      <c r="F117" s="16">
        <f t="shared" si="25"/>
        <v>1788.6999999999989</v>
      </c>
      <c r="G117" s="17">
        <f t="shared" si="26"/>
        <v>2412.3999999999978</v>
      </c>
      <c r="H117" s="17">
        <f t="shared" si="27"/>
        <v>-291</v>
      </c>
      <c r="I117" s="17">
        <f t="shared" si="28"/>
        <v>2121.3999999999978</v>
      </c>
      <c r="L117" s="92" t="s">
        <v>46</v>
      </c>
      <c r="M117" s="93" cm="1">
        <f t="array" ref="M117">IF(LEFT(D4,5)="Short",MAX(IF(I97:I157&lt;0,D97:D157)),MAX(IF(I97:I157&gt;0,D97:D157)))</f>
        <v>222.36649999999997</v>
      </c>
    </row>
    <row r="118" spans="4:13" ht="17" hidden="1" x14ac:dyDescent="0.2">
      <c r="D118" s="15">
        <f>$E$12*0.91</f>
        <v>213.00370000000001</v>
      </c>
      <c r="E118" s="16">
        <f t="shared" si="24"/>
        <v>389.62999999999909</v>
      </c>
      <c r="F118" s="16">
        <f t="shared" si="25"/>
        <v>1554.6299999999992</v>
      </c>
      <c r="G118" s="17">
        <f t="shared" si="26"/>
        <v>1944.2599999999984</v>
      </c>
      <c r="H118" s="17">
        <f t="shared" si="27"/>
        <v>-291</v>
      </c>
      <c r="I118" s="17">
        <f t="shared" si="28"/>
        <v>1653.2599999999984</v>
      </c>
      <c r="L118" s="94" t="s">
        <v>47</v>
      </c>
      <c r="M118" s="95" cm="1">
        <f t="array" ref="M118">IF(LEFT(D4,5)="Short",MIN(IF(I97:I157&gt;0, D97:D157)),MIN(IF(I97:I157&lt;0, D97:D157)))</f>
        <v>224.70719999999997</v>
      </c>
    </row>
    <row r="119" spans="4:13" ht="17" hidden="1" x14ac:dyDescent="0.2">
      <c r="D119" s="15">
        <f>$E$12*0.92</f>
        <v>215.34440000000001</v>
      </c>
      <c r="E119" s="16">
        <f t="shared" si="24"/>
        <v>155.55999999999926</v>
      </c>
      <c r="F119" s="16">
        <f t="shared" si="25"/>
        <v>1320.5599999999993</v>
      </c>
      <c r="G119" s="17">
        <f t="shared" si="26"/>
        <v>1476.1199999999985</v>
      </c>
      <c r="H119" s="17">
        <f t="shared" si="27"/>
        <v>-291</v>
      </c>
      <c r="I119" s="17">
        <f t="shared" si="28"/>
        <v>1185.1199999999985</v>
      </c>
      <c r="L119" s="94" t="s">
        <v>49</v>
      </c>
      <c r="M119" s="95">
        <f>INDEX(I97:I157, MATCH(M117, D97:D157, 0))</f>
        <v>17.350000000002638</v>
      </c>
    </row>
    <row r="120" spans="4:13" ht="17" hidden="1" x14ac:dyDescent="0.2">
      <c r="D120" s="15">
        <f>$E$12*0.93</f>
        <v>217.68510000000001</v>
      </c>
      <c r="E120" s="16">
        <f t="shared" si="24"/>
        <v>-78.510000000000574</v>
      </c>
      <c r="F120" s="16">
        <f t="shared" si="25"/>
        <v>1086.4899999999996</v>
      </c>
      <c r="G120" s="17">
        <f t="shared" si="26"/>
        <v>1007.979999999999</v>
      </c>
      <c r="H120" s="17">
        <f t="shared" si="27"/>
        <v>-291</v>
      </c>
      <c r="I120" s="17">
        <f t="shared" si="28"/>
        <v>716.979999999999</v>
      </c>
      <c r="L120" s="94" t="s">
        <v>48</v>
      </c>
      <c r="M120" s="95">
        <f>INDEX(I97:I157, MATCH(M118, D97:D157, 0))</f>
        <v>-216.71999999999719</v>
      </c>
    </row>
    <row r="121" spans="4:13" ht="18" hidden="1" thickBot="1" x14ac:dyDescent="0.25">
      <c r="D121" s="15">
        <f>$E$12*0.94</f>
        <v>220.02579999999998</v>
      </c>
      <c r="E121" s="16">
        <f t="shared" si="24"/>
        <v>-310</v>
      </c>
      <c r="F121" s="16">
        <f t="shared" si="25"/>
        <v>852.42000000000257</v>
      </c>
      <c r="G121" s="17">
        <f t="shared" si="26"/>
        <v>542.42000000000257</v>
      </c>
      <c r="H121" s="17">
        <f t="shared" si="27"/>
        <v>-291</v>
      </c>
      <c r="I121" s="17">
        <f t="shared" si="28"/>
        <v>251.42000000000257</v>
      </c>
      <c r="L121" s="96" t="s">
        <v>51</v>
      </c>
      <c r="M121" s="97">
        <f>M117 + (0 - M119) * (M118 - M117) / (M120 - M119)</f>
        <v>222.54</v>
      </c>
    </row>
    <row r="122" spans="4:13" hidden="1" x14ac:dyDescent="0.2">
      <c r="D122" s="15">
        <f>$E$12*0.95</f>
        <v>222.36649999999997</v>
      </c>
      <c r="E122" s="16">
        <f t="shared" si="24"/>
        <v>-310</v>
      </c>
      <c r="F122" s="16">
        <f t="shared" si="25"/>
        <v>618.35000000000264</v>
      </c>
      <c r="G122" s="17">
        <f t="shared" si="26"/>
        <v>308.35000000000264</v>
      </c>
      <c r="H122" s="17">
        <f t="shared" si="27"/>
        <v>-291</v>
      </c>
      <c r="I122" s="17">
        <f t="shared" si="28"/>
        <v>17.350000000002638</v>
      </c>
    </row>
    <row r="123" spans="4:13" hidden="1" x14ac:dyDescent="0.2">
      <c r="D123" s="15">
        <f>$E$12*0.96</f>
        <v>224.70719999999997</v>
      </c>
      <c r="E123" s="16">
        <f t="shared" si="24"/>
        <v>-310</v>
      </c>
      <c r="F123" s="16">
        <f t="shared" si="25"/>
        <v>384.28000000000281</v>
      </c>
      <c r="G123" s="17">
        <f t="shared" si="26"/>
        <v>74.280000000002815</v>
      </c>
      <c r="H123" s="17">
        <f t="shared" si="27"/>
        <v>-291</v>
      </c>
      <c r="I123" s="17">
        <f t="shared" si="28"/>
        <v>-216.71999999999719</v>
      </c>
    </row>
    <row r="124" spans="4:13" hidden="1" x14ac:dyDescent="0.2">
      <c r="D124" s="15">
        <f>$E$12*0.97</f>
        <v>227.0479</v>
      </c>
      <c r="E124" s="16">
        <f t="shared" si="24"/>
        <v>-310</v>
      </c>
      <c r="F124" s="16">
        <f t="shared" si="25"/>
        <v>150.21000000000012</v>
      </c>
      <c r="G124" s="17">
        <f t="shared" si="26"/>
        <v>-159.78999999999988</v>
      </c>
      <c r="H124" s="17">
        <f t="shared" si="27"/>
        <v>-291</v>
      </c>
      <c r="I124" s="17">
        <f t="shared" si="28"/>
        <v>-450.78999999999985</v>
      </c>
    </row>
    <row r="125" spans="4:13" hidden="1" x14ac:dyDescent="0.2">
      <c r="D125" s="15">
        <f>$E$12*0.98</f>
        <v>229.3886</v>
      </c>
      <c r="E125" s="16">
        <f t="shared" si="24"/>
        <v>-310</v>
      </c>
      <c r="F125" s="16">
        <f t="shared" si="25"/>
        <v>-83.859999999999687</v>
      </c>
      <c r="G125" s="17">
        <f t="shared" si="26"/>
        <v>-393.85999999999967</v>
      </c>
      <c r="H125" s="17">
        <f t="shared" si="27"/>
        <v>-291</v>
      </c>
      <c r="I125" s="17">
        <f t="shared" si="28"/>
        <v>-684.85999999999967</v>
      </c>
    </row>
    <row r="126" spans="4:13" hidden="1" x14ac:dyDescent="0.2">
      <c r="D126" s="15">
        <f>$E$12*0.99</f>
        <v>231.72929999999999</v>
      </c>
      <c r="E126" s="16">
        <f t="shared" si="24"/>
        <v>-310</v>
      </c>
      <c r="F126" s="16">
        <f t="shared" si="25"/>
        <v>-317.9299999999995</v>
      </c>
      <c r="G126" s="17">
        <f t="shared" si="26"/>
        <v>-627.9299999999995</v>
      </c>
      <c r="H126" s="17">
        <f t="shared" si="27"/>
        <v>-291</v>
      </c>
      <c r="I126" s="17">
        <f t="shared" si="28"/>
        <v>-918.9299999999995</v>
      </c>
    </row>
    <row r="127" spans="4:13" hidden="1" x14ac:dyDescent="0.2">
      <c r="D127" s="15">
        <f>$E$12</f>
        <v>234.07</v>
      </c>
      <c r="E127" s="16">
        <f t="shared" si="24"/>
        <v>-310</v>
      </c>
      <c r="F127" s="16">
        <f t="shared" si="25"/>
        <v>-551.99999999999932</v>
      </c>
      <c r="G127" s="17">
        <f t="shared" si="26"/>
        <v>-861.99999999999932</v>
      </c>
      <c r="H127" s="17">
        <f t="shared" si="27"/>
        <v>-291</v>
      </c>
      <c r="I127" s="17">
        <f t="shared" si="28"/>
        <v>-1152.9999999999993</v>
      </c>
    </row>
    <row r="128" spans="4:13" hidden="1" x14ac:dyDescent="0.2">
      <c r="D128" s="15">
        <f>$E$12*1.01</f>
        <v>236.41069999999999</v>
      </c>
      <c r="E128" s="16">
        <f t="shared" si="24"/>
        <v>-310</v>
      </c>
      <c r="F128" s="16">
        <f t="shared" si="25"/>
        <v>-645</v>
      </c>
      <c r="G128" s="17">
        <f t="shared" si="26"/>
        <v>-955</v>
      </c>
      <c r="H128" s="17">
        <f t="shared" si="27"/>
        <v>-291</v>
      </c>
      <c r="I128" s="17">
        <f t="shared" si="28"/>
        <v>-1246</v>
      </c>
    </row>
    <row r="129" spans="4:12" hidden="1" x14ac:dyDescent="0.2">
      <c r="D129" s="15">
        <f>$E$12*1.02</f>
        <v>238.75139999999999</v>
      </c>
      <c r="E129" s="16">
        <f t="shared" si="24"/>
        <v>-310</v>
      </c>
      <c r="F129" s="16">
        <f t="shared" si="25"/>
        <v>-645</v>
      </c>
      <c r="G129" s="17">
        <f t="shared" si="26"/>
        <v>-955</v>
      </c>
      <c r="H129" s="17">
        <f t="shared" si="27"/>
        <v>-291</v>
      </c>
      <c r="I129" s="17">
        <f t="shared" si="28"/>
        <v>-1246</v>
      </c>
      <c r="L129" s="2"/>
    </row>
    <row r="130" spans="4:12" hidden="1" x14ac:dyDescent="0.2">
      <c r="D130" s="15">
        <f>$E$12*1.03</f>
        <v>241.09209999999999</v>
      </c>
      <c r="E130" s="16">
        <f t="shared" si="24"/>
        <v>-310</v>
      </c>
      <c r="F130" s="16">
        <f t="shared" si="25"/>
        <v>-645</v>
      </c>
      <c r="G130" s="17">
        <f t="shared" si="26"/>
        <v>-955</v>
      </c>
      <c r="H130" s="17">
        <f t="shared" si="27"/>
        <v>-291</v>
      </c>
      <c r="I130" s="17">
        <f t="shared" si="28"/>
        <v>-1246</v>
      </c>
    </row>
    <row r="131" spans="4:12" hidden="1" x14ac:dyDescent="0.2">
      <c r="D131" s="15">
        <f>$E$12*1.04</f>
        <v>243.43280000000001</v>
      </c>
      <c r="E131" s="16">
        <f t="shared" si="24"/>
        <v>-310</v>
      </c>
      <c r="F131" s="16">
        <f t="shared" si="25"/>
        <v>-645</v>
      </c>
      <c r="G131" s="17">
        <f t="shared" si="26"/>
        <v>-955</v>
      </c>
      <c r="H131" s="17">
        <f t="shared" si="27"/>
        <v>-291</v>
      </c>
      <c r="I131" s="17">
        <f t="shared" si="28"/>
        <v>-1246</v>
      </c>
    </row>
    <row r="132" spans="4:12" hidden="1" x14ac:dyDescent="0.2">
      <c r="D132" s="15">
        <f>$E$12*1.05</f>
        <v>245.77350000000001</v>
      </c>
      <c r="E132" s="16">
        <f t="shared" si="24"/>
        <v>-310</v>
      </c>
      <c r="F132" s="16">
        <f t="shared" si="25"/>
        <v>-645</v>
      </c>
      <c r="G132" s="17">
        <f t="shared" si="26"/>
        <v>-955</v>
      </c>
      <c r="H132" s="17">
        <f t="shared" si="27"/>
        <v>-291</v>
      </c>
      <c r="I132" s="17">
        <f t="shared" si="28"/>
        <v>-1246</v>
      </c>
    </row>
    <row r="133" spans="4:12" hidden="1" x14ac:dyDescent="0.2">
      <c r="D133" s="15">
        <f>$E$12*1.06</f>
        <v>248.11420000000001</v>
      </c>
      <c r="E133" s="16">
        <f t="shared" si="24"/>
        <v>-310</v>
      </c>
      <c r="F133" s="16">
        <f t="shared" si="25"/>
        <v>-645</v>
      </c>
      <c r="G133" s="17">
        <f t="shared" si="26"/>
        <v>-955</v>
      </c>
      <c r="H133" s="17">
        <f t="shared" si="27"/>
        <v>-291</v>
      </c>
      <c r="I133" s="17">
        <f t="shared" si="28"/>
        <v>-1246</v>
      </c>
    </row>
    <row r="134" spans="4:12" hidden="1" x14ac:dyDescent="0.2">
      <c r="D134" s="15">
        <f>$E$12*1.07</f>
        <v>250.45490000000001</v>
      </c>
      <c r="E134" s="16">
        <f t="shared" si="24"/>
        <v>-310</v>
      </c>
      <c r="F134" s="16">
        <f t="shared" si="25"/>
        <v>-645</v>
      </c>
      <c r="G134" s="17">
        <f t="shared" si="26"/>
        <v>-955</v>
      </c>
      <c r="H134" s="17">
        <f t="shared" si="27"/>
        <v>-291</v>
      </c>
      <c r="I134" s="17">
        <f t="shared" si="28"/>
        <v>-1246</v>
      </c>
    </row>
    <row r="135" spans="4:12" hidden="1" x14ac:dyDescent="0.2">
      <c r="D135" s="15">
        <f>$E$12*1.08</f>
        <v>252.79560000000001</v>
      </c>
      <c r="E135" s="16">
        <f t="shared" si="24"/>
        <v>-310</v>
      </c>
      <c r="F135" s="16">
        <f t="shared" si="25"/>
        <v>-645</v>
      </c>
      <c r="G135" s="17">
        <f t="shared" si="26"/>
        <v>-955</v>
      </c>
      <c r="H135" s="17">
        <f t="shared" si="27"/>
        <v>-291</v>
      </c>
      <c r="I135" s="17">
        <f t="shared" si="28"/>
        <v>-1246</v>
      </c>
    </row>
    <row r="136" spans="4:12" hidden="1" x14ac:dyDescent="0.2">
      <c r="D136" s="15">
        <f>$E$12*1.09</f>
        <v>255.13630000000001</v>
      </c>
      <c r="E136" s="16">
        <f t="shared" si="24"/>
        <v>-310</v>
      </c>
      <c r="F136" s="16">
        <f t="shared" si="25"/>
        <v>-645</v>
      </c>
      <c r="G136" s="17">
        <f t="shared" si="26"/>
        <v>-955</v>
      </c>
      <c r="H136" s="17">
        <f t="shared" si="27"/>
        <v>-291</v>
      </c>
      <c r="I136" s="17">
        <f t="shared" si="28"/>
        <v>-1246</v>
      </c>
    </row>
    <row r="137" spans="4:12" hidden="1" x14ac:dyDescent="0.2">
      <c r="D137" s="15">
        <f>$E$12*1.1</f>
        <v>257.47700000000003</v>
      </c>
      <c r="E137" s="16">
        <f t="shared" si="24"/>
        <v>-310</v>
      </c>
      <c r="F137" s="16">
        <f t="shared" si="25"/>
        <v>-645</v>
      </c>
      <c r="G137" s="17">
        <f t="shared" si="26"/>
        <v>-955</v>
      </c>
      <c r="H137" s="17">
        <f t="shared" si="27"/>
        <v>-291</v>
      </c>
      <c r="I137" s="17">
        <f t="shared" si="28"/>
        <v>-1246</v>
      </c>
    </row>
    <row r="138" spans="4:12" hidden="1" x14ac:dyDescent="0.2">
      <c r="D138" s="15">
        <f>$E$12*1.11</f>
        <v>259.8177</v>
      </c>
      <c r="E138" s="16">
        <f t="shared" si="24"/>
        <v>-310</v>
      </c>
      <c r="F138" s="16">
        <f t="shared" si="25"/>
        <v>-645</v>
      </c>
      <c r="G138" s="17">
        <f t="shared" si="26"/>
        <v>-955</v>
      </c>
      <c r="H138" s="17">
        <f t="shared" si="27"/>
        <v>-291</v>
      </c>
      <c r="I138" s="17">
        <f t="shared" si="28"/>
        <v>-1246</v>
      </c>
    </row>
    <row r="139" spans="4:12" hidden="1" x14ac:dyDescent="0.2">
      <c r="D139" s="15">
        <f>$E$12*1.12</f>
        <v>262.15840000000003</v>
      </c>
      <c r="E139" s="16">
        <f t="shared" si="24"/>
        <v>-310</v>
      </c>
      <c r="F139" s="16">
        <f t="shared" si="25"/>
        <v>-645</v>
      </c>
      <c r="G139" s="17">
        <f t="shared" si="26"/>
        <v>-955</v>
      </c>
      <c r="H139" s="17">
        <f t="shared" si="27"/>
        <v>-291</v>
      </c>
      <c r="I139" s="17">
        <f t="shared" si="28"/>
        <v>-1246</v>
      </c>
    </row>
    <row r="140" spans="4:12" hidden="1" x14ac:dyDescent="0.2">
      <c r="D140" s="15">
        <f>$E$12*1.13</f>
        <v>264.49909999999994</v>
      </c>
      <c r="E140" s="16">
        <f t="shared" si="24"/>
        <v>-310</v>
      </c>
      <c r="F140" s="16">
        <f t="shared" si="25"/>
        <v>-645</v>
      </c>
      <c r="G140" s="17">
        <f t="shared" si="26"/>
        <v>-955</v>
      </c>
      <c r="H140" s="17">
        <f t="shared" si="27"/>
        <v>-291</v>
      </c>
      <c r="I140" s="17">
        <f t="shared" si="28"/>
        <v>-1246</v>
      </c>
    </row>
    <row r="141" spans="4:12" hidden="1" x14ac:dyDescent="0.2">
      <c r="D141" s="15">
        <f>$E$12*1.14</f>
        <v>266.83979999999997</v>
      </c>
      <c r="E141" s="16">
        <f t="shared" si="24"/>
        <v>-310</v>
      </c>
      <c r="F141" s="16">
        <f t="shared" si="25"/>
        <v>-645</v>
      </c>
      <c r="G141" s="17">
        <f t="shared" si="26"/>
        <v>-955</v>
      </c>
      <c r="H141" s="17">
        <f t="shared" si="27"/>
        <v>-291</v>
      </c>
      <c r="I141" s="17">
        <f t="shared" si="28"/>
        <v>-1246</v>
      </c>
    </row>
    <row r="142" spans="4:12" hidden="1" x14ac:dyDescent="0.2">
      <c r="D142" s="15">
        <f>$E$12*1.15</f>
        <v>269.18049999999999</v>
      </c>
      <c r="E142" s="16">
        <f t="shared" si="24"/>
        <v>-310</v>
      </c>
      <c r="F142" s="16">
        <f t="shared" si="25"/>
        <v>-645</v>
      </c>
      <c r="G142" s="17">
        <f t="shared" si="26"/>
        <v>-955</v>
      </c>
      <c r="H142" s="17">
        <f t="shared" si="27"/>
        <v>-291</v>
      </c>
      <c r="I142" s="17">
        <f t="shared" si="28"/>
        <v>-1246</v>
      </c>
    </row>
    <row r="143" spans="4:12" hidden="1" x14ac:dyDescent="0.2">
      <c r="D143" s="15">
        <f>$E$12*1.16</f>
        <v>271.52119999999996</v>
      </c>
      <c r="E143" s="16">
        <f t="shared" si="24"/>
        <v>-310</v>
      </c>
      <c r="F143" s="16">
        <f t="shared" si="25"/>
        <v>-645</v>
      </c>
      <c r="G143" s="17">
        <f t="shared" si="26"/>
        <v>-955</v>
      </c>
      <c r="H143" s="17">
        <f t="shared" si="27"/>
        <v>-291</v>
      </c>
      <c r="I143" s="17">
        <f t="shared" si="28"/>
        <v>-1246</v>
      </c>
    </row>
    <row r="144" spans="4:12" hidden="1" x14ac:dyDescent="0.2">
      <c r="D144" s="15">
        <f>$E$12*1.17</f>
        <v>273.86189999999999</v>
      </c>
      <c r="E144" s="16">
        <f t="shared" si="24"/>
        <v>-310</v>
      </c>
      <c r="F144" s="16">
        <f t="shared" si="25"/>
        <v>-645</v>
      </c>
      <c r="G144" s="17">
        <f t="shared" si="26"/>
        <v>-955</v>
      </c>
      <c r="H144" s="17">
        <f t="shared" si="27"/>
        <v>-291</v>
      </c>
      <c r="I144" s="17">
        <f t="shared" si="28"/>
        <v>-1246</v>
      </c>
    </row>
    <row r="145" spans="4:9" hidden="1" x14ac:dyDescent="0.2">
      <c r="D145" s="15">
        <f>$E$12*1.18</f>
        <v>276.20259999999996</v>
      </c>
      <c r="E145" s="16">
        <f t="shared" si="24"/>
        <v>-310</v>
      </c>
      <c r="F145" s="16">
        <f t="shared" si="25"/>
        <v>-645</v>
      </c>
      <c r="G145" s="17">
        <f t="shared" si="26"/>
        <v>-955</v>
      </c>
      <c r="H145" s="17">
        <f t="shared" si="27"/>
        <v>-291</v>
      </c>
      <c r="I145" s="17">
        <f t="shared" si="28"/>
        <v>-1246</v>
      </c>
    </row>
    <row r="146" spans="4:9" hidden="1" x14ac:dyDescent="0.2">
      <c r="D146" s="15">
        <f>$E$12*1.19</f>
        <v>278.54329999999999</v>
      </c>
      <c r="E146" s="16">
        <f t="shared" si="24"/>
        <v>-310</v>
      </c>
      <c r="F146" s="16">
        <f t="shared" si="25"/>
        <v>-645</v>
      </c>
      <c r="G146" s="17">
        <f t="shared" si="26"/>
        <v>-955</v>
      </c>
      <c r="H146" s="17">
        <f t="shared" si="27"/>
        <v>-291</v>
      </c>
      <c r="I146" s="17">
        <f t="shared" si="28"/>
        <v>-1246</v>
      </c>
    </row>
    <row r="147" spans="4:9" hidden="1" x14ac:dyDescent="0.2">
      <c r="D147" s="15">
        <f>$E$12*1.2</f>
        <v>280.88399999999996</v>
      </c>
      <c r="E147" s="16">
        <f t="shared" si="24"/>
        <v>-310</v>
      </c>
      <c r="F147" s="16">
        <f t="shared" si="25"/>
        <v>-645</v>
      </c>
      <c r="G147" s="17">
        <f t="shared" si="26"/>
        <v>-955</v>
      </c>
      <c r="H147" s="17">
        <f t="shared" si="27"/>
        <v>-291</v>
      </c>
      <c r="I147" s="17">
        <f t="shared" si="28"/>
        <v>-1246</v>
      </c>
    </row>
    <row r="148" spans="4:9" hidden="1" x14ac:dyDescent="0.2">
      <c r="D148" s="15">
        <f>$E$12*1.21</f>
        <v>283.22469999999998</v>
      </c>
      <c r="E148" s="16">
        <f t="shared" si="24"/>
        <v>-310</v>
      </c>
      <c r="F148" s="16">
        <f t="shared" si="25"/>
        <v>-645</v>
      </c>
      <c r="G148" s="17">
        <f t="shared" si="26"/>
        <v>-955</v>
      </c>
      <c r="H148" s="17">
        <f t="shared" si="27"/>
        <v>-291</v>
      </c>
      <c r="I148" s="17">
        <f t="shared" si="28"/>
        <v>-1246</v>
      </c>
    </row>
    <row r="149" spans="4:9" hidden="1" x14ac:dyDescent="0.2">
      <c r="D149" s="15">
        <f>$E$12*1.22</f>
        <v>285.56540000000001</v>
      </c>
      <c r="E149" s="16">
        <f t="shared" si="24"/>
        <v>-310</v>
      </c>
      <c r="F149" s="16">
        <f t="shared" si="25"/>
        <v>-645</v>
      </c>
      <c r="G149" s="17">
        <f t="shared" si="26"/>
        <v>-955</v>
      </c>
      <c r="H149" s="17">
        <f t="shared" si="27"/>
        <v>-291</v>
      </c>
      <c r="I149" s="17">
        <f t="shared" si="28"/>
        <v>-1246</v>
      </c>
    </row>
    <row r="150" spans="4:9" hidden="1" x14ac:dyDescent="0.2">
      <c r="D150" s="15">
        <f>$E$12*1.23</f>
        <v>287.90609999999998</v>
      </c>
      <c r="E150" s="16">
        <f t="shared" si="24"/>
        <v>-310</v>
      </c>
      <c r="F150" s="16">
        <f t="shared" si="25"/>
        <v>-645</v>
      </c>
      <c r="G150" s="17">
        <f t="shared" si="26"/>
        <v>-955</v>
      </c>
      <c r="H150" s="17">
        <f t="shared" si="27"/>
        <v>-291</v>
      </c>
      <c r="I150" s="17">
        <f t="shared" si="28"/>
        <v>-1246</v>
      </c>
    </row>
    <row r="151" spans="4:9" hidden="1" x14ac:dyDescent="0.2">
      <c r="D151" s="15">
        <f>$E$12*1.24</f>
        <v>290.24680000000001</v>
      </c>
      <c r="E151" s="16">
        <f t="shared" si="24"/>
        <v>-310</v>
      </c>
      <c r="F151" s="16">
        <f t="shared" si="25"/>
        <v>-645</v>
      </c>
      <c r="G151" s="17">
        <f t="shared" si="26"/>
        <v>-955</v>
      </c>
      <c r="H151" s="17">
        <f t="shared" si="27"/>
        <v>-291</v>
      </c>
      <c r="I151" s="17">
        <f t="shared" si="28"/>
        <v>-1246</v>
      </c>
    </row>
    <row r="152" spans="4:9" hidden="1" x14ac:dyDescent="0.2">
      <c r="D152" s="15">
        <f>$E$12*1.25</f>
        <v>292.58749999999998</v>
      </c>
      <c r="E152" s="16">
        <f t="shared" si="24"/>
        <v>-310</v>
      </c>
      <c r="F152" s="16">
        <f t="shared" si="25"/>
        <v>-645</v>
      </c>
      <c r="G152" s="17">
        <f t="shared" si="26"/>
        <v>-955</v>
      </c>
      <c r="H152" s="17">
        <f t="shared" si="27"/>
        <v>-291</v>
      </c>
      <c r="I152" s="17">
        <f t="shared" si="28"/>
        <v>-1246</v>
      </c>
    </row>
    <row r="153" spans="4:9" hidden="1" x14ac:dyDescent="0.2">
      <c r="D153" s="15">
        <f>$E$12*1.26</f>
        <v>294.9282</v>
      </c>
      <c r="E153" s="16">
        <f t="shared" si="24"/>
        <v>-310</v>
      </c>
      <c r="F153" s="16">
        <f t="shared" si="25"/>
        <v>-645</v>
      </c>
      <c r="G153" s="17">
        <f t="shared" si="26"/>
        <v>-955</v>
      </c>
      <c r="H153" s="17">
        <f t="shared" si="27"/>
        <v>-291</v>
      </c>
      <c r="I153" s="17">
        <f t="shared" si="28"/>
        <v>-1246</v>
      </c>
    </row>
    <row r="154" spans="4:9" hidden="1" x14ac:dyDescent="0.2">
      <c r="D154" s="15">
        <f>$E$12*1.27</f>
        <v>297.26889999999997</v>
      </c>
      <c r="E154" s="16">
        <f t="shared" si="24"/>
        <v>-310</v>
      </c>
      <c r="F154" s="16">
        <f t="shared" si="25"/>
        <v>-645</v>
      </c>
      <c r="G154" s="17">
        <f t="shared" si="26"/>
        <v>-955</v>
      </c>
      <c r="H154" s="17">
        <f t="shared" si="27"/>
        <v>-291</v>
      </c>
      <c r="I154" s="17">
        <f t="shared" si="28"/>
        <v>-1246</v>
      </c>
    </row>
    <row r="155" spans="4:9" hidden="1" x14ac:dyDescent="0.2">
      <c r="D155" s="15">
        <f>$E$12*1.28</f>
        <v>299.6096</v>
      </c>
      <c r="E155" s="16">
        <f t="shared" si="24"/>
        <v>-310</v>
      </c>
      <c r="F155" s="16">
        <f t="shared" si="25"/>
        <v>-645</v>
      </c>
      <c r="G155" s="17">
        <f t="shared" si="26"/>
        <v>-955</v>
      </c>
      <c r="H155" s="17">
        <f t="shared" si="27"/>
        <v>-291</v>
      </c>
      <c r="I155" s="17">
        <f t="shared" si="28"/>
        <v>-1246</v>
      </c>
    </row>
    <row r="156" spans="4:9" hidden="1" x14ac:dyDescent="0.2">
      <c r="D156" s="15">
        <f>$E$12*1.29</f>
        <v>301.95030000000003</v>
      </c>
      <c r="E156" s="16">
        <f t="shared" si="24"/>
        <v>-310</v>
      </c>
      <c r="F156" s="16">
        <f t="shared" si="25"/>
        <v>-645</v>
      </c>
      <c r="G156" s="17">
        <f t="shared" si="26"/>
        <v>-955</v>
      </c>
      <c r="H156" s="17">
        <f t="shared" si="27"/>
        <v>-291</v>
      </c>
      <c r="I156" s="17">
        <f t="shared" si="28"/>
        <v>-1246</v>
      </c>
    </row>
    <row r="157" spans="4:9" hidden="1" x14ac:dyDescent="0.2">
      <c r="D157" s="18">
        <f>$E$12*1.3</f>
        <v>304.291</v>
      </c>
      <c r="E157" s="19">
        <f t="shared" si="24"/>
        <v>-310</v>
      </c>
      <c r="F157" s="19">
        <f t="shared" si="25"/>
        <v>-645</v>
      </c>
      <c r="G157" s="20">
        <f t="shared" si="26"/>
        <v>-955</v>
      </c>
      <c r="H157" s="20">
        <f t="shared" si="27"/>
        <v>-291</v>
      </c>
      <c r="I157" s="20">
        <f t="shared" si="28"/>
        <v>-1246</v>
      </c>
    </row>
    <row r="158" spans="4:9" hidden="1" x14ac:dyDescent="0.2">
      <c r="D158" s="2"/>
      <c r="F158" s="2"/>
    </row>
    <row r="159" spans="4:9" hidden="1" x14ac:dyDescent="0.2">
      <c r="D159" s="2"/>
    </row>
    <row r="160" spans="4:9" hidden="1" x14ac:dyDescent="0.2">
      <c r="D160" s="2"/>
    </row>
    <row r="161" spans="4:4" hidden="1" x14ac:dyDescent="0.2">
      <c r="D161" s="2"/>
    </row>
    <row r="162" spans="4:4" hidden="1" x14ac:dyDescent="0.2">
      <c r="D162" s="2"/>
    </row>
    <row r="163" spans="4:4" hidden="1" x14ac:dyDescent="0.2">
      <c r="D163" s="2"/>
    </row>
  </sheetData>
  <mergeCells count="11">
    <mergeCell ref="L116:M116"/>
    <mergeCell ref="H94:J94"/>
    <mergeCell ref="M94:O94"/>
    <mergeCell ref="B3:B8"/>
    <mergeCell ref="B2:D2"/>
    <mergeCell ref="B19:B20"/>
    <mergeCell ref="B15:S15"/>
    <mergeCell ref="R16:S16"/>
    <mergeCell ref="E10:P10"/>
    <mergeCell ref="Q68:V68"/>
    <mergeCell ref="K68:P68"/>
  </mergeCells>
  <dataValidations count="4">
    <dataValidation type="list" allowBlank="1" showInputMessage="1" showErrorMessage="1" sqref="D4" xr:uid="{4CA5310C-DDF0-C94A-BC71-67AACD5A3159}">
      <formula1>"Long Call, Long Put, Short Call, Short Put"</formula1>
    </dataValidation>
    <dataValidation type="date" allowBlank="1" showInputMessage="1" showErrorMessage="1" sqref="I16" xr:uid="{DEDF0987-152C-0746-A1E4-8E1A86E9970E}">
      <formula1>AB1</formula1>
      <formula2>54789</formula2>
    </dataValidation>
    <dataValidation type="list" allowBlank="1" showInputMessage="1" showErrorMessage="1" sqref="E94 C20" xr:uid="{9DDA9B84-3615-D041-B311-BF4312AF0CF6}">
      <formula1>$E$18:$E$37</formula1>
    </dataValidation>
    <dataValidation type="list" allowBlank="1" showInputMessage="1" showErrorMessage="1" sqref="R16:S16" xr:uid="{9B758419-9C7D-3849-AEF8-A95301A7885D}">
      <formula1>"Future trade only, Difference old vs new"</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2</vt:i4>
      </vt:variant>
      <vt:variant>
        <vt:lpstr>Charts</vt:lpstr>
      </vt:variant>
      <vt:variant>
        <vt:i4>1</vt:i4>
      </vt:variant>
    </vt:vector>
  </HeadingPairs>
  <TitlesOfParts>
    <vt:vector size="3" baseType="lpstr">
      <vt:lpstr>Instructions</vt:lpstr>
      <vt:lpstr>1-leg trade</vt:lpstr>
      <vt:lpstr>P&amp;L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2025-07-29T08:03:14Z</dcterms:created>
  <dcterms:modified xsi:type="dcterms:W3CDTF">2025-09-15T08:22:09Z</dcterms:modified>
</cp:coreProperties>
</file>