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mc:AlternateContent xmlns:mc="http://schemas.openxmlformats.org/markup-compatibility/2006">
    <mc:Choice Requires="x15">
      <x15ac:absPath xmlns:x15ac="http://schemas.microsoft.com/office/spreadsheetml/2010/11/ac" url="C:\Users\leavg\Dropbox\Stocks\Current Stock Analysis\Basic Model\"/>
    </mc:Choice>
  </mc:AlternateContent>
  <xr:revisionPtr revIDLastSave="0" documentId="13_ncr:1_{BF067C35-D960-4434-9214-9A099C3FD715}" xr6:coauthVersionLast="47" xr6:coauthVersionMax="47" xr10:uidLastSave="{00000000-0000-0000-0000-000000000000}"/>
  <bookViews>
    <workbookView xWindow="-120" yWindow="-120" windowWidth="29040" windowHeight="15840" xr2:uid="{00000000-000D-0000-FFFF-FFFF00000000}"/>
  </bookViews>
  <sheets>
    <sheet name="Instructions" sheetId="8" r:id="rId1"/>
    <sheet name="Input" sheetId="2" r:id="rId2"/>
    <sheet name="EPS-PE Model" sheetId="4" r:id="rId3"/>
    <sheet name="Sensitivity Analysis"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8" i="5" l="1"/>
  <c r="C8" i="2" a="1"/>
  <c r="C8" i="2" s="1"/>
  <c r="D19" i="4" s="1"/>
  <c r="D21" i="4" s="1"/>
  <c r="C32" i="4" s="1"/>
  <c r="D5" i="4"/>
  <c r="E5" i="4" s="1"/>
  <c r="F5" i="4" s="1"/>
  <c r="G5" i="4" s="1"/>
  <c r="C7" i="2" a="1"/>
  <c r="C7" i="2" s="1"/>
  <c r="C21" i="2" a="1"/>
  <c r="C21" i="2" s="1"/>
  <c r="C20" i="2" a="1"/>
  <c r="C20" i="2" s="1"/>
  <c r="C14" i="2" a="1"/>
  <c r="C14" i="2" s="1"/>
  <c r="C15" i="2" a="1"/>
  <c r="C15" i="2" s="1"/>
  <c r="C16" i="2" a="1"/>
  <c r="C16" i="2" s="1"/>
  <c r="C17" i="2" a="1"/>
  <c r="C17" i="2" s="1"/>
  <c r="C18" i="2" a="1"/>
  <c r="C18" i="2" s="1"/>
  <c r="C11" i="2" a="1"/>
  <c r="C11" i="2" s="1"/>
  <c r="F9" i="4" s="1"/>
  <c r="G9" i="4" s="1"/>
  <c r="C12" i="2" a="1"/>
  <c r="C12" i="2" s="1"/>
  <c r="D17" i="4" s="1"/>
  <c r="C9" i="2" a="1"/>
  <c r="C9" i="2" s="1"/>
  <c r="D7" i="4" s="1"/>
  <c r="D6" i="5" s="1"/>
  <c r="C10" i="2" a="1"/>
  <c r="C10" i="2" s="1"/>
  <c r="E8" i="4" s="1"/>
  <c r="D20" i="2" l="1"/>
  <c r="E36" i="4" s="1"/>
  <c r="D26" i="4"/>
  <c r="D9" i="5" s="1"/>
  <c r="D7" i="5"/>
  <c r="C30" i="4"/>
  <c r="C31" i="4"/>
  <c r="E7" i="4"/>
  <c r="D13" i="4"/>
  <c r="D17" i="2"/>
  <c r="D21" i="2"/>
  <c r="E37" i="4" s="1"/>
  <c r="E35" i="4" l="1"/>
  <c r="G35" i="4" s="1"/>
  <c r="F37" i="4"/>
  <c r="G37" i="4"/>
  <c r="F36" i="4"/>
  <c r="G36" i="4"/>
  <c r="P4" i="5"/>
  <c r="L4" i="5"/>
  <c r="L17" i="5" s="1"/>
  <c r="E13" i="4"/>
  <c r="E14" i="4" s="1"/>
  <c r="F7" i="4"/>
  <c r="F35" i="4" l="1"/>
  <c r="P17" i="5"/>
  <c r="O4" i="5"/>
  <c r="O17" i="5" s="1"/>
  <c r="J4" i="5"/>
  <c r="J17" i="5" s="1"/>
  <c r="M4" i="5"/>
  <c r="M17" i="5" s="1"/>
  <c r="I4" i="5"/>
  <c r="I17" i="5" s="1"/>
  <c r="K4" i="5"/>
  <c r="K17" i="5" s="1"/>
  <c r="N4" i="5"/>
  <c r="N17" i="5" s="1"/>
  <c r="F13" i="4"/>
  <c r="F14" i="4" s="1"/>
  <c r="G7" i="4"/>
  <c r="G13" i="4" s="1"/>
  <c r="D16" i="4" s="1"/>
  <c r="D23" i="4" l="1"/>
  <c r="E31" i="4"/>
  <c r="E32" i="4"/>
  <c r="G14" i="4"/>
  <c r="F32" i="4" l="1"/>
  <c r="G32" i="4"/>
  <c r="G16" i="4"/>
  <c r="F17" i="4" s="1"/>
  <c r="D5" i="5"/>
  <c r="C34" i="4"/>
  <c r="C33" i="4"/>
  <c r="E34" i="4"/>
  <c r="G31" i="4"/>
  <c r="F31" i="4"/>
  <c r="E33" i="4"/>
  <c r="D24" i="4"/>
  <c r="D27" i="4" s="1"/>
  <c r="E30" i="4"/>
  <c r="H9" i="5" l="1"/>
  <c r="H22" i="5" s="1"/>
  <c r="G30" i="4"/>
  <c r="F30" i="4"/>
  <c r="F33" i="4"/>
  <c r="G33" i="4"/>
  <c r="F34" i="4"/>
  <c r="G34" i="4"/>
  <c r="J9" i="5" l="1"/>
  <c r="J22" i="5" s="1"/>
  <c r="I9" i="5"/>
  <c r="I22" i="5" s="1"/>
  <c r="H10" i="5"/>
  <c r="H23" i="5" s="1"/>
  <c r="O9" i="5"/>
  <c r="O22" i="5" s="1"/>
  <c r="H7" i="5"/>
  <c r="H20" i="5" s="1"/>
  <c r="H5" i="5"/>
  <c r="H18" i="5" s="1"/>
  <c r="H11" i="5"/>
  <c r="H24" i="5" s="1"/>
  <c r="N9" i="5"/>
  <c r="N22" i="5" s="1"/>
  <c r="M9" i="5"/>
  <c r="M22" i="5" s="1"/>
  <c r="H6" i="5"/>
  <c r="H19" i="5" s="1"/>
  <c r="L9" i="5"/>
  <c r="L22" i="5" s="1"/>
  <c r="H12" i="5"/>
  <c r="H25" i="5" s="1"/>
  <c r="K9" i="5"/>
  <c r="K22" i="5" s="1"/>
  <c r="H8" i="5"/>
  <c r="H21" i="5" s="1"/>
  <c r="H26" i="5"/>
  <c r="H13" i="5"/>
  <c r="P13" i="5" s="1"/>
  <c r="P26" i="5" s="1"/>
  <c r="N12" i="5" l="1"/>
  <c r="N25" i="5" s="1"/>
  <c r="L7" i="5"/>
  <c r="L20" i="5" s="1"/>
  <c r="I12" i="5"/>
  <c r="I25" i="5" s="1"/>
  <c r="M12" i="5"/>
  <c r="M25" i="5" s="1"/>
  <c r="J11" i="5"/>
  <c r="J24" i="5" s="1"/>
  <c r="L10" i="5"/>
  <c r="L23" i="5" s="1"/>
  <c r="O10" i="5"/>
  <c r="O23" i="5" s="1"/>
  <c r="M10" i="5"/>
  <c r="M23" i="5" s="1"/>
  <c r="O11" i="5"/>
  <c r="O24" i="5" s="1"/>
  <c r="J10" i="5"/>
  <c r="J23" i="5" s="1"/>
  <c r="I6" i="5"/>
  <c r="I19" i="5" s="1"/>
  <c r="O8" i="5"/>
  <c r="O21" i="5" s="1"/>
  <c r="I5" i="5"/>
  <c r="I18" i="5" s="1"/>
  <c r="J8" i="5"/>
  <c r="J21" i="5" s="1"/>
  <c r="O5" i="5"/>
  <c r="O18" i="5" s="1"/>
  <c r="I8" i="5"/>
  <c r="I21" i="5" s="1"/>
  <c r="N5" i="5"/>
  <c r="N18" i="5" s="1"/>
  <c r="N8" i="5"/>
  <c r="N21" i="5" s="1"/>
  <c r="L5" i="5"/>
  <c r="L18" i="5" s="1"/>
  <c r="M8" i="5"/>
  <c r="M21" i="5" s="1"/>
  <c r="K8" i="5"/>
  <c r="K21" i="5" s="1"/>
  <c r="K5" i="5"/>
  <c r="K18" i="5" s="1"/>
  <c r="M5" i="5"/>
  <c r="M18" i="5" s="1"/>
  <c r="J5" i="5"/>
  <c r="J18" i="5" s="1"/>
  <c r="L8" i="5"/>
  <c r="L21" i="5" s="1"/>
  <c r="I7" i="5"/>
  <c r="I20" i="5" s="1"/>
  <c r="N7" i="5"/>
  <c r="N20" i="5" s="1"/>
  <c r="J7" i="5"/>
  <c r="J20" i="5" s="1"/>
  <c r="L12" i="5"/>
  <c r="L25" i="5" s="1"/>
  <c r="K12" i="5"/>
  <c r="K25" i="5" s="1"/>
  <c r="J12" i="5"/>
  <c r="J25" i="5" s="1"/>
  <c r="O12" i="5"/>
  <c r="O25" i="5" s="1"/>
  <c r="L11" i="5"/>
  <c r="L24" i="5" s="1"/>
  <c r="O6" i="5"/>
  <c r="O19" i="5" s="1"/>
  <c r="N6" i="5"/>
  <c r="N19" i="5" s="1"/>
  <c r="M6" i="5"/>
  <c r="M19" i="5" s="1"/>
  <c r="L6" i="5"/>
  <c r="L19" i="5" s="1"/>
  <c r="K6" i="5"/>
  <c r="K19" i="5" s="1"/>
  <c r="J6" i="5"/>
  <c r="J19" i="5" s="1"/>
  <c r="K11" i="5"/>
  <c r="K24" i="5" s="1"/>
  <c r="I10" i="5"/>
  <c r="I23" i="5" s="1"/>
  <c r="K7" i="5"/>
  <c r="K20" i="5" s="1"/>
  <c r="I11" i="5"/>
  <c r="I24" i="5" s="1"/>
  <c r="N10" i="5"/>
  <c r="N23" i="5" s="1"/>
  <c r="N11" i="5"/>
  <c r="N24" i="5" s="1"/>
  <c r="O7" i="5"/>
  <c r="O20" i="5" s="1"/>
  <c r="M11" i="5"/>
  <c r="M24" i="5" s="1"/>
  <c r="K10" i="5"/>
  <c r="K23" i="5" s="1"/>
  <c r="M7" i="5"/>
  <c r="M20" i="5"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<sst xmlns="http://schemas.openxmlformats.org/spreadsheetml/2006/main" count="86" uniqueCount="69">
  <si>
    <t>EPS</t>
  </si>
  <si>
    <t>PE</t>
  </si>
  <si>
    <t>EPS (TTM)</t>
  </si>
  <si>
    <t>Expected Return</t>
  </si>
  <si>
    <t>Input</t>
  </si>
  <si>
    <t>Growth</t>
  </si>
  <si>
    <t>Present Value</t>
  </si>
  <si>
    <t>PE EPS Model Analysts</t>
  </si>
  <si>
    <t>Change</t>
  </si>
  <si>
    <t>Growth\PE</t>
  </si>
  <si>
    <t>Current Price</t>
  </si>
  <si>
    <t>Scenarios</t>
  </si>
  <si>
    <t>Price</t>
  </si>
  <si>
    <t>Analyst Target</t>
  </si>
  <si>
    <t>52w High</t>
  </si>
  <si>
    <t>52w Low</t>
  </si>
  <si>
    <t>Current Year</t>
  </si>
  <si>
    <t>Ticker</t>
  </si>
  <si>
    <t>stock_last</t>
  </si>
  <si>
    <t>eps_growth_next_y</t>
  </si>
  <si>
    <t>eps_growth_past_5y</t>
  </si>
  <si>
    <t>eps_growth_next_5y</t>
  </si>
  <si>
    <t>eps_ttm</t>
  </si>
  <si>
    <t>EPS Growth (Next Year)</t>
  </si>
  <si>
    <t>EPS Growth (Next 5 Years)</t>
  </si>
  <si>
    <t>EPS Growth (Past 5 Years)</t>
  </si>
  <si>
    <t>recom</t>
  </si>
  <si>
    <t>recom_change_last_m</t>
  </si>
  <si>
    <t>target_price_percent</t>
  </si>
  <si>
    <t>stock_score</t>
  </si>
  <si>
    <t>recom_change_last_6m</t>
  </si>
  <si>
    <t>Change in recom over the last month</t>
  </si>
  <si>
    <t>Change in recom over the last 6 months</t>
  </si>
  <si>
    <t>Analysts' target price</t>
  </si>
  <si>
    <t>Analysts' Recom</t>
  </si>
  <si>
    <t>Stock Score</t>
  </si>
  <si>
    <t>w_high_52d</t>
  </si>
  <si>
    <t>w_low_52d</t>
  </si>
  <si>
    <t>Years</t>
  </si>
  <si>
    <t>EPS Growth Next year</t>
  </si>
  <si>
    <t>EPS growth next 5y</t>
  </si>
  <si>
    <t>Bypass</t>
  </si>
  <si>
    <t>Compare: Historical Growth</t>
  </si>
  <si>
    <t>Model Growth</t>
  </si>
  <si>
    <t>Model CAGR Growth</t>
  </si>
  <si>
    <t>p_e</t>
  </si>
  <si>
    <t>PE Bypass</t>
  </si>
  <si>
    <t>Future Price</t>
  </si>
  <si>
    <t>Market Price</t>
  </si>
  <si>
    <t>CAGR</t>
  </si>
  <si>
    <t>Sensitivity  Analysis</t>
  </si>
  <si>
    <t>PE in 3 Years</t>
  </si>
  <si>
    <t>User Inputs</t>
  </si>
  <si>
    <t>EPS today</t>
  </si>
  <si>
    <t>From Model</t>
  </si>
  <si>
    <t>From Input</t>
  </si>
  <si>
    <t xml:space="preserve"> Input</t>
  </si>
  <si>
    <t>Present Value % Change</t>
  </si>
  <si>
    <t>NFLX</t>
  </si>
  <si>
    <t>Links:</t>
  </si>
  <si>
    <t>Option Samurai</t>
  </si>
  <si>
    <t>Installation help</t>
  </si>
  <si>
    <t>Excel integration help article</t>
  </si>
  <si>
    <t>Blog post about this template</t>
  </si>
  <si>
    <t>Description</t>
  </si>
  <si>
    <t>Instructions</t>
  </si>
  <si>
    <t>EPS - PE Template - Stock Valuation model</t>
  </si>
  <si>
    <t>This template is designed to help you understand a company's intrinsic value - The value in which you would be indifferent to holding the company.
This workbook uses the PE-EPS valuation model, where you estimate the future PE ratio (Price to Earnings ratio) and the future EPS (Earnings Per Share) to calculate the company's fair price. This model is best suited for profitable and growing companies.
Read more in our blog or see the Youtube video to see an example use case.</t>
  </si>
  <si>
    <t>1. In the input tab, Change Ticker, current financial year, and the expected return (discount rate).
2. In the EPS-PE Model Tab: See the Future EPS in row #13 and edit it in row #11 if you need.
3. Edit the future PE ratio in row #20. You can see the current PE ratio.
4. Check the fair value in different scenarios.
5. You can check the sensitivity of your assumptions in the sensitivity analysis tab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</si>
</sst>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Red]\-&quot;₪&quot;#,##0.00"/>
    <numFmt numFmtId="43" formatCode="_-* #,##0.00_-;\-* #,##0.00_-;_-* &quot;-&quot;??_-;_-@_-"/>
    <numFmt numFmtId="164" formatCode="_-[$$-409]* #,##0.00_ ;_-[$$-409]* \-#,##0.00\ ;_-[$$-409]* &quot;-&quot;??_ ;_-@_ "/>
    <numFmt numFmtId="165" formatCode="0.0%"/>
    <numFmt numFmtId="166" formatCode="_-* #,##0.0_-;\-* #,##0.0_-;_-* &quot;-&quot;??_-;_-@_-"/>
  </numFmts>
  <fonts count="18" x14ac:knownFonts="1">
    <font>
      <sz val="11"/>
      <color theme="1"/>
      <name val="Calibri"/>
      <family val="2"/>
      <scheme val="minor"/>
    </font>
    <font>
      <sz val="11"/>
      <color theme="1"/>
      <name val="Calibri"/>
      <family val="2"/>
      <scheme val="minor"/>
    </font>
    <font>
      <sz val="11"/>
      <color rgb="FF3F3F76"/>
      <name val="Calibri"/>
      <family val="2"/>
      <scheme val="minor"/>
    </font>
    <font>
      <b/>
      <sz val="11"/>
      <color theme="1"/>
      <name val="Calibri"/>
      <family val="2"/>
      <scheme val="minor"/>
    </font>
    <font>
      <b/>
      <u/>
      <sz val="11"/>
      <color theme="1"/>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b/>
      <sz val="10"/>
      <color theme="1"/>
      <name val="Calibri"/>
      <family val="2"/>
      <scheme val="minor"/>
    </font>
    <font>
      <b/>
      <sz val="11"/>
      <color rgb="FFFA7D00"/>
      <name val="Calibri"/>
      <family val="2"/>
      <scheme val="minor"/>
    </font>
    <font>
      <sz val="11"/>
      <color theme="0"/>
      <name val="Calibri"/>
      <family val="2"/>
      <scheme val="minor"/>
    </font>
    <font>
      <i/>
      <sz val="11"/>
      <color theme="1"/>
      <name val="Calibri"/>
      <family val="2"/>
      <scheme val="minor"/>
    </font>
    <font>
      <i/>
      <sz val="11"/>
      <color theme="2" tint="-0.499984740745262"/>
      <name val="Calibri"/>
      <family val="2"/>
      <scheme val="minor"/>
    </font>
    <font>
      <sz val="10"/>
      <color theme="1"/>
      <name val="Calibri"/>
      <family val="2"/>
      <scheme val="minor"/>
    </font>
    <font>
      <i/>
      <sz val="10"/>
      <color theme="1"/>
      <name val="Calibri"/>
      <family val="2"/>
      <scheme val="minor"/>
    </font>
    <font>
      <u/>
      <sz val="11"/>
      <color theme="10"/>
      <name val="Calibri"/>
      <family val="2"/>
      <scheme val="minor"/>
    </font>
    <font>
      <b/>
      <sz val="18"/>
      <color theme="0"/>
      <name val="Calibri"/>
      <family val="2"/>
      <scheme val="minor"/>
    </font>
    <font>
      <b/>
      <sz val="14"/>
      <color theme="0"/>
      <name val="Calibri"/>
      <family val="2"/>
      <scheme val="minor"/>
    </font>
  </fonts>
  <fills count="11">
    <fill>
      <patternFill patternType="none"/>
    </fill>
    <fill>
      <patternFill patternType="gray125"/>
    </fill>
    <fill>
      <patternFill patternType="solid">
        <fgColor rgb="FFFFCC99"/>
      </patternFill>
    </fill>
    <fill>
      <patternFill patternType="solid">
        <fgColor theme="4" tint="0.79998168889431442"/>
        <bgColor indexed="65"/>
      </patternFill>
    </fill>
    <fill>
      <patternFill patternType="solid">
        <fgColor theme="4" tint="0.59999389629810485"/>
        <bgColor indexed="65"/>
      </patternFill>
    </fill>
    <fill>
      <patternFill patternType="solid">
        <fgColor rgb="FFF2F2F2"/>
      </patternFill>
    </fill>
    <fill>
      <patternFill patternType="solid">
        <fgColor theme="8" tint="0.59999389629810485"/>
        <bgColor indexed="65"/>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1" tint="0.34998626667073579"/>
        <bgColor indexed="64"/>
      </patternFill>
    </fill>
    <fill>
      <patternFill patternType="solid">
        <fgColor theme="0" tint="-0.34998626667073579"/>
        <bgColor indexed="64"/>
      </patternFill>
    </fill>
  </fills>
  <borders count="11">
    <border>
      <left/>
      <right/>
      <top/>
      <bottom/>
      <diagonal/>
    </border>
    <border>
      <left style="thin">
        <color rgb="FF7F7F7F"/>
      </left>
      <right style="thin">
        <color rgb="FF7F7F7F"/>
      </right>
      <top style="thin">
        <color rgb="FF7F7F7F"/>
      </top>
      <bottom style="thin">
        <color rgb="FF7F7F7F"/>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9">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2" borderId="1"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9" fillId="5" borderId="1" applyNumberFormat="0" applyAlignment="0" applyProtection="0"/>
    <xf numFmtId="0" fontId="1" fillId="6" borderId="0" applyNumberFormat="0" applyBorder="0" applyAlignment="0" applyProtection="0"/>
    <xf numFmtId="0" fontId="15" fillId="0" borderId="0" applyNumberFormat="0" applyFill="0" applyBorder="0" applyAlignment="0" applyProtection="0"/>
  </cellStyleXfs>
  <cellXfs count="95">
    <xf numFmtId="0" fontId="0" fillId="0" borderId="0" xfId="0"/>
    <xf numFmtId="0" fontId="2" fillId="2" borderId="1" xfId="3"/>
    <xf numFmtId="10" fontId="2" fillId="2" borderId="1" xfId="3" applyNumberFormat="1"/>
    <xf numFmtId="9" fontId="2" fillId="2" borderId="1" xfId="3" applyNumberFormat="1"/>
    <xf numFmtId="0" fontId="4" fillId="0" borderId="0" xfId="0" applyFont="1"/>
    <xf numFmtId="8" fontId="7" fillId="0" borderId="0" xfId="0" applyNumberFormat="1" applyFont="1"/>
    <xf numFmtId="0" fontId="0" fillId="0" borderId="3" xfId="0" applyBorder="1"/>
    <xf numFmtId="43" fontId="5" fillId="0" borderId="3" xfId="1" applyFont="1" applyBorder="1"/>
    <xf numFmtId="0" fontId="0" fillId="0" borderId="4" xfId="0" applyBorder="1"/>
    <xf numFmtId="43" fontId="5" fillId="0" borderId="4" xfId="1" applyFont="1" applyBorder="1"/>
    <xf numFmtId="43" fontId="0" fillId="0" borderId="0" xfId="0" applyNumberFormat="1"/>
    <xf numFmtId="0" fontId="0" fillId="0" borderId="0" xfId="0" applyAlignment="1">
      <alignment horizontal="center"/>
    </xf>
    <xf numFmtId="165" fontId="0" fillId="0" borderId="0" xfId="2" applyNumberFormat="1" applyFont="1" applyAlignment="1">
      <alignment horizontal="center"/>
    </xf>
    <xf numFmtId="0" fontId="0" fillId="0" borderId="0" xfId="0" applyFill="1" applyBorder="1"/>
    <xf numFmtId="9" fontId="0" fillId="0" borderId="0" xfId="2" applyFont="1" applyFill="1" applyBorder="1"/>
    <xf numFmtId="0" fontId="2" fillId="0" borderId="0" xfId="3" applyFill="1" applyBorder="1"/>
    <xf numFmtId="43" fontId="0" fillId="7" borderId="0" xfId="1" applyFont="1" applyFill="1" applyBorder="1"/>
    <xf numFmtId="0" fontId="3" fillId="0" borderId="0" xfId="0" applyFont="1" applyFill="1" applyBorder="1"/>
    <xf numFmtId="43" fontId="3" fillId="0" borderId="0" xfId="1" applyFont="1" applyFill="1" applyBorder="1"/>
    <xf numFmtId="43" fontId="0" fillId="7" borderId="2" xfId="1" applyFont="1" applyFill="1" applyBorder="1"/>
    <xf numFmtId="0" fontId="10" fillId="0" borderId="0" xfId="0" applyFont="1" applyFill="1" applyBorder="1"/>
    <xf numFmtId="0" fontId="0" fillId="7" borderId="2" xfId="0" applyFill="1" applyBorder="1"/>
    <xf numFmtId="0" fontId="3" fillId="0" borderId="0" xfId="0" applyFont="1"/>
    <xf numFmtId="0" fontId="11" fillId="0" borderId="0" xfId="0" applyFont="1" applyFill="1" applyBorder="1"/>
    <xf numFmtId="0" fontId="11" fillId="0" borderId="0" xfId="0" applyFont="1"/>
    <xf numFmtId="43" fontId="11" fillId="0" borderId="0" xfId="1" applyFont="1" applyFill="1" applyBorder="1"/>
    <xf numFmtId="10" fontId="11" fillId="0" borderId="0" xfId="0" applyNumberFormat="1" applyFont="1" applyFill="1" applyBorder="1"/>
    <xf numFmtId="2" fontId="11" fillId="0" borderId="0" xfId="0" applyNumberFormat="1" applyFont="1" applyFill="1" applyBorder="1"/>
    <xf numFmtId="10" fontId="11" fillId="0" borderId="0" xfId="2" applyNumberFormat="1" applyFont="1" applyFill="1" applyBorder="1"/>
    <xf numFmtId="165" fontId="12" fillId="0" borderId="0" xfId="2" applyNumberFormat="1" applyFont="1" applyFill="1" applyBorder="1"/>
    <xf numFmtId="164" fontId="3" fillId="0" borderId="0" xfId="0" applyNumberFormat="1" applyFont="1"/>
    <xf numFmtId="165" fontId="3" fillId="0" borderId="0" xfId="2" applyNumberFormat="1" applyFont="1"/>
    <xf numFmtId="2" fontId="0" fillId="0" borderId="0" xfId="0" applyNumberFormat="1" applyAlignment="1">
      <alignment horizontal="center"/>
    </xf>
    <xf numFmtId="2" fontId="0" fillId="0" borderId="0" xfId="0" applyNumberFormat="1" applyAlignment="1">
      <alignment horizontal="center" vertical="center"/>
    </xf>
    <xf numFmtId="165" fontId="3" fillId="0" borderId="0" xfId="2" applyNumberFormat="1" applyFont="1" applyAlignment="1">
      <alignment horizontal="center"/>
    </xf>
    <xf numFmtId="9" fontId="0" fillId="0" borderId="0" xfId="0" applyNumberFormat="1" applyAlignment="1">
      <alignment horizontal="center"/>
    </xf>
    <xf numFmtId="165" fontId="0" fillId="0" borderId="0" xfId="0" applyNumberFormat="1" applyAlignment="1">
      <alignment horizontal="center"/>
    </xf>
    <xf numFmtId="0" fontId="8" fillId="0" borderId="6" xfId="0" applyFont="1" applyBorder="1"/>
    <xf numFmtId="166" fontId="6" fillId="0" borderId="7" xfId="1" applyNumberFormat="1" applyFont="1" applyBorder="1"/>
    <xf numFmtId="166" fontId="6" fillId="0" borderId="7" xfId="0" applyNumberFormat="1" applyFont="1" applyBorder="1"/>
    <xf numFmtId="166" fontId="6" fillId="0" borderId="8" xfId="0" applyNumberFormat="1" applyFont="1" applyBorder="1"/>
    <xf numFmtId="165" fontId="6" fillId="0" borderId="9" xfId="2" applyNumberFormat="1" applyFont="1" applyBorder="1"/>
    <xf numFmtId="8" fontId="5" fillId="0" borderId="0" xfId="1" applyNumberFormat="1" applyFont="1" applyBorder="1"/>
    <xf numFmtId="8" fontId="1" fillId="3" borderId="0" xfId="4" applyNumberFormat="1" applyBorder="1"/>
    <xf numFmtId="8" fontId="5" fillId="0" borderId="3" xfId="1" applyNumberFormat="1" applyFont="1" applyBorder="1"/>
    <xf numFmtId="165" fontId="1" fillId="3" borderId="9" xfId="4" applyNumberFormat="1" applyBorder="1"/>
    <xf numFmtId="8" fontId="1" fillId="4" borderId="0" xfId="5" applyNumberFormat="1" applyBorder="1"/>
    <xf numFmtId="8" fontId="1" fillId="3" borderId="3" xfId="4" applyNumberFormat="1" applyBorder="1"/>
    <xf numFmtId="165" fontId="6" fillId="0" borderId="10" xfId="2" applyNumberFormat="1" applyFont="1" applyBorder="1"/>
    <xf numFmtId="8" fontId="5" fillId="0" borderId="4" xfId="1" applyNumberFormat="1" applyFont="1" applyBorder="1"/>
    <xf numFmtId="8" fontId="1" fillId="3" borderId="4" xfId="4" applyNumberFormat="1" applyBorder="1"/>
    <xf numFmtId="8" fontId="5" fillId="0" borderId="5" xfId="1" applyNumberFormat="1" applyFont="1" applyBorder="1"/>
    <xf numFmtId="165" fontId="9" fillId="5" borderId="2" xfId="6" applyNumberFormat="1" applyBorder="1"/>
    <xf numFmtId="0" fontId="9" fillId="5" borderId="2" xfId="6" applyBorder="1"/>
    <xf numFmtId="8" fontId="6" fillId="0" borderId="2" xfId="1" applyNumberFormat="1" applyFont="1" applyBorder="1" applyAlignment="1">
      <alignment horizontal="center" vertical="center"/>
    </xf>
    <xf numFmtId="165" fontId="5" fillId="0" borderId="0" xfId="2" applyNumberFormat="1" applyFont="1" applyBorder="1"/>
    <xf numFmtId="165" fontId="5" fillId="0" borderId="6" xfId="2" applyNumberFormat="1" applyFont="1" applyBorder="1"/>
    <xf numFmtId="165" fontId="5" fillId="0" borderId="7" xfId="2" applyNumberFormat="1" applyFont="1" applyBorder="1"/>
    <xf numFmtId="165" fontId="5" fillId="0" borderId="8" xfId="2" applyNumberFormat="1" applyFont="1" applyBorder="1"/>
    <xf numFmtId="165" fontId="5" fillId="0" borderId="9" xfId="2" applyNumberFormat="1" applyFont="1" applyBorder="1"/>
    <xf numFmtId="165" fontId="5" fillId="0" borderId="3" xfId="2" applyNumberFormat="1" applyFont="1" applyBorder="1"/>
    <xf numFmtId="165" fontId="5" fillId="0" borderId="10" xfId="2" applyNumberFormat="1" applyFont="1" applyBorder="1"/>
    <xf numFmtId="165" fontId="5" fillId="0" borderId="4" xfId="2" applyNumberFormat="1" applyFont="1" applyBorder="1"/>
    <xf numFmtId="165" fontId="5" fillId="0" borderId="5" xfId="2" applyNumberFormat="1" applyFont="1" applyBorder="1"/>
    <xf numFmtId="8" fontId="5" fillId="0" borderId="6" xfId="1" applyNumberFormat="1" applyFont="1" applyBorder="1"/>
    <xf numFmtId="8" fontId="5" fillId="0" borderId="7" xfId="1" applyNumberFormat="1" applyFont="1" applyBorder="1"/>
    <xf numFmtId="8" fontId="1" fillId="3" borderId="7" xfId="4" applyNumberFormat="1" applyBorder="1"/>
    <xf numFmtId="8" fontId="5" fillId="0" borderId="8" xfId="1" applyNumberFormat="1" applyFont="1" applyBorder="1"/>
    <xf numFmtId="8" fontId="5" fillId="0" borderId="9" xfId="1" applyNumberFormat="1" applyFont="1" applyBorder="1"/>
    <xf numFmtId="8" fontId="1" fillId="3" borderId="9" xfId="4" applyNumberFormat="1" applyBorder="1"/>
    <xf numFmtId="8" fontId="5" fillId="0" borderId="10" xfId="1" applyNumberFormat="1" applyFont="1" applyBorder="1"/>
    <xf numFmtId="9" fontId="1" fillId="3" borderId="7" xfId="4" applyNumberFormat="1" applyBorder="1"/>
    <xf numFmtId="9" fontId="1" fillId="3" borderId="0" xfId="4" applyNumberFormat="1" applyBorder="1"/>
    <xf numFmtId="9" fontId="1" fillId="3" borderId="4" xfId="4" applyNumberFormat="1" applyBorder="1"/>
    <xf numFmtId="165" fontId="1" fillId="3" borderId="0" xfId="4" applyNumberFormat="1" applyBorder="1"/>
    <xf numFmtId="165" fontId="1" fillId="3" borderId="3" xfId="4" applyNumberFormat="1" applyBorder="1"/>
    <xf numFmtId="9" fontId="1" fillId="6" borderId="0" xfId="7" applyNumberFormat="1" applyBorder="1"/>
    <xf numFmtId="0" fontId="13" fillId="0" borderId="0" xfId="0" applyFont="1"/>
    <xf numFmtId="0" fontId="14" fillId="0" borderId="0" xfId="0" applyFont="1"/>
    <xf numFmtId="10" fontId="6" fillId="0" borderId="2" xfId="2" applyNumberFormat="1" applyFont="1" applyBorder="1" applyAlignment="1">
      <alignment horizontal="center" vertical="center"/>
    </xf>
    <xf numFmtId="0" fontId="0" fillId="8" borderId="0" xfId="0" applyFill="1"/>
    <xf numFmtId="10" fontId="0" fillId="8" borderId="0" xfId="0" applyNumberFormat="1" applyFill="1"/>
    <xf numFmtId="3" fontId="0" fillId="8" borderId="0" xfId="0" applyNumberFormat="1" applyFill="1"/>
    <xf numFmtId="0" fontId="16" fillId="9" borderId="0" xfId="0" applyFont="1" applyFill="1" applyAlignment="1">
      <alignment horizontal="center" vertical="center"/>
    </xf>
    <xf numFmtId="0" fontId="0" fillId="10" borderId="0" xfId="0" applyFill="1"/>
    <xf numFmtId="10" fontId="0" fillId="10" borderId="0" xfId="0" applyNumberFormat="1" applyFill="1"/>
    <xf numFmtId="3" fontId="0" fillId="10" borderId="0" xfId="0" applyNumberFormat="1" applyFill="1"/>
    <xf numFmtId="0" fontId="4" fillId="10" borderId="0" xfId="0" applyFont="1" applyFill="1"/>
    <xf numFmtId="0" fontId="15" fillId="10" borderId="0" xfId="8" applyFill="1"/>
    <xf numFmtId="10" fontId="15" fillId="10" borderId="0" xfId="8" applyNumberFormat="1" applyFill="1"/>
    <xf numFmtId="0" fontId="17" fillId="9" borderId="0" xfId="0" applyFont="1" applyFill="1" applyAlignment="1">
      <alignment horizontal="center"/>
    </xf>
    <xf numFmtId="0" fontId="0" fillId="8" borderId="0" xfId="0" applyFill="1" applyAlignment="1">
      <alignment horizontal="justify" vertical="center" wrapText="1"/>
    </xf>
    <xf numFmtId="0" fontId="0" fillId="8" borderId="0" xfId="0" applyFill="1" applyAlignment="1">
      <alignment vertical="center" wrapText="1"/>
    </xf>
    <xf numFmtId="0" fontId="0" fillId="8" borderId="0" xfId="0" applyFill="1" applyAlignment="1">
      <alignment vertical="center"/>
    </xf>
    <xf numFmtId="3" fontId="15" fillId="10" borderId="0" xfId="8" applyNumberFormat="1" applyFill="1"/>
  </cellXfs>
  <cellStyles count="9">
    <cellStyle name="20% - Accent1" xfId="4" builtinId="30"/>
    <cellStyle name="40% - Accent1" xfId="5" builtinId="31"/>
    <cellStyle name="40% - Accent5" xfId="7" builtinId="47"/>
    <cellStyle name="Calculation" xfId="6" builtinId="22"/>
    <cellStyle name="Comma" xfId="1" builtinId="3"/>
    <cellStyle name="Hyperlink" xfId="8" builtinId="8"/>
    <cellStyle name="Input" xfId="3" builtinId="20"/>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200026</xdr:colOff>
      <xdr:row>0</xdr:row>
      <xdr:rowOff>190447</xdr:rowOff>
    </xdr:from>
    <xdr:to>
      <xdr:col>3</xdr:col>
      <xdr:colOff>485775</xdr:colOff>
      <xdr:row>3</xdr:row>
      <xdr:rowOff>0</xdr:rowOff>
    </xdr:to>
    <xdr:pic>
      <xdr:nvPicPr>
        <xdr:cNvPr id="2" name="Picture 1">
          <a:extLst>
            <a:ext uri="{FF2B5EF4-FFF2-40B4-BE49-F238E27FC236}">
              <a16:creationId xmlns:a16="http://schemas.microsoft.com/office/drawing/2014/main" id="{81C26D07-87C2-43BC-B77B-72BD114506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6" y="190447"/>
          <a:ext cx="2114549" cy="38105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DDBDC0C4-F624-446E-8EE9-D2831E9F141A}">
  <we:reference id="5c1926c6-e184-4b7b-ab86-fb3254b07aeb" version="1.0.0.0" store="\\share.optionsamurai.com\excel" storeType="Filesystem"/>
  <we:alternateReferences/>
  <we:properties/>
  <we:bindings/>
  <we:snapshot xmlns:r="http://schemas.openxmlformats.org/officeDocument/2006/relationships"/>
  <we:extLst>
    <a:ext xmlns:a="http://schemas.openxmlformats.org/drawingml/2006/main" uri="{D87F86FE-615C-45B5-9D79-34F1136793EB}">
      <we:containsCustomFunctions val="1"/>
    </a:ext>
    <a:ext xmlns:a="http://schemas.openxmlformats.org/drawingml/2006/main" uri="{7C84B067-C214-45C3-A712-C9D94CD141B2}">
      <we:customFunctionIdList>
        <we:customFunctionIds>_xldudf_OPTIONSAMURAI_STOCK</we:customFunctionIds>
        <we:customFunctionIds>_xldudf_OPTIONSAMURAI_OPTION</we:customFunctionIds>
        <we:customFunctionIds>_xldudf_OPTIONSAMURAI_HEADER</we:customFunctionIds>
      </we:customFunctionIdList>
    </a:ext>
  </we:extLst>
</we:webextension>
</file>

<file path=xl/worksheets/_rels/sheet1.xml.rels><?xml version="1.0" encoding="UTF-8" standalone="yes"?>
<Relationships xmlns="http://schemas.openxmlformats.org/package/2006/relationships"><Relationship Id="rId3" Type="http://schemas.openxmlformats.org/officeDocument/2006/relationships/hyperlink" Target="https://samurai.froged.help/docs/en/2202695-installing-excelgoogle-sheet-plugin" TargetMode="External"/><Relationship Id="rId2" Type="http://schemas.openxmlformats.org/officeDocument/2006/relationships/hyperlink" Target="https://samurai.froged.help/docs/en/89714462-excel--google-sheets-integration" TargetMode="External"/><Relationship Id="rId1" Type="http://schemas.openxmlformats.org/officeDocument/2006/relationships/hyperlink" Target="https://optionsamurai.com/" TargetMode="External"/><Relationship Id="rId5" Type="http://schemas.openxmlformats.org/officeDocument/2006/relationships/drawing" Target="../drawings/drawing1.xml"/><Relationship Id="rId4" Type="http://schemas.openxmlformats.org/officeDocument/2006/relationships/hyperlink" Target="https://blog.optionsamurai.com/stock-valuation-model-automatic-excel-import-of-stock-data/"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B69A0-1221-4C70-AF38-133A60B4FFD1}">
  <dimension ref="A4:P67"/>
  <sheetViews>
    <sheetView tabSelected="1" workbookViewId="0">
      <selection activeCell="I9" sqref="I9"/>
    </sheetView>
  </sheetViews>
  <sheetFormatPr defaultRowHeight="15" x14ac:dyDescent="0.25"/>
  <cols>
    <col min="1" max="16384" width="9.140625" style="80"/>
  </cols>
  <sheetData>
    <row r="4" spans="1:16" x14ac:dyDescent="0.25">
      <c r="G4" s="81"/>
      <c r="I4" s="82"/>
      <c r="J4" s="81"/>
      <c r="L4" s="81"/>
      <c r="M4" s="81"/>
      <c r="N4" s="81"/>
      <c r="P4" s="82"/>
    </row>
    <row r="5" spans="1:16" x14ac:dyDescent="0.25">
      <c r="A5" s="83" t="s">
        <v>66</v>
      </c>
      <c r="B5" s="83"/>
      <c r="C5" s="83"/>
      <c r="D5" s="83"/>
      <c r="E5" s="83"/>
      <c r="F5" s="83"/>
      <c r="G5" s="83"/>
      <c r="H5" s="83"/>
      <c r="I5" s="83"/>
      <c r="J5" s="83"/>
      <c r="K5" s="83"/>
      <c r="L5" s="83"/>
      <c r="M5" s="83"/>
      <c r="N5" s="81"/>
      <c r="P5" s="82"/>
    </row>
    <row r="6" spans="1:16" x14ac:dyDescent="0.25">
      <c r="A6" s="83"/>
      <c r="B6" s="83"/>
      <c r="C6" s="83"/>
      <c r="D6" s="83"/>
      <c r="E6" s="83"/>
      <c r="F6" s="83"/>
      <c r="G6" s="83"/>
      <c r="H6" s="83"/>
      <c r="I6" s="83"/>
      <c r="J6" s="83"/>
      <c r="K6" s="83"/>
      <c r="L6" s="83"/>
      <c r="M6" s="83"/>
    </row>
    <row r="7" spans="1:16" x14ac:dyDescent="0.25">
      <c r="A7" s="84"/>
      <c r="B7" s="84"/>
      <c r="C7" s="84"/>
      <c r="D7" s="84"/>
      <c r="E7" s="84"/>
      <c r="F7" s="84"/>
      <c r="G7" s="85"/>
      <c r="H7" s="84"/>
      <c r="I7" s="86"/>
      <c r="J7" s="85"/>
      <c r="K7" s="84"/>
      <c r="L7" s="84"/>
      <c r="M7" s="84"/>
    </row>
    <row r="8" spans="1:16" x14ac:dyDescent="0.25">
      <c r="A8" s="84"/>
      <c r="B8" s="87" t="s">
        <v>59</v>
      </c>
      <c r="C8" s="84"/>
      <c r="D8" s="88" t="s">
        <v>60</v>
      </c>
      <c r="E8" s="84"/>
      <c r="F8" s="84"/>
      <c r="G8" s="85"/>
      <c r="H8" s="84"/>
      <c r="I8" s="88" t="s">
        <v>61</v>
      </c>
      <c r="J8" s="85"/>
      <c r="K8" s="84"/>
      <c r="L8" s="85"/>
      <c r="M8" s="85"/>
      <c r="N8" s="81"/>
      <c r="P8" s="82"/>
    </row>
    <row r="9" spans="1:16" x14ac:dyDescent="0.25">
      <c r="A9" s="84"/>
      <c r="B9" s="84"/>
      <c r="C9" s="84"/>
      <c r="D9" s="89" t="s">
        <v>62</v>
      </c>
      <c r="E9" s="84"/>
      <c r="F9" s="84"/>
      <c r="G9" s="84"/>
      <c r="H9" s="84"/>
      <c r="I9" s="94" t="s">
        <v>63</v>
      </c>
      <c r="J9" s="85"/>
      <c r="K9" s="84"/>
      <c r="L9" s="85"/>
      <c r="M9" s="85"/>
      <c r="N9" s="81"/>
      <c r="P9" s="82"/>
    </row>
    <row r="10" spans="1:16" x14ac:dyDescent="0.25">
      <c r="A10" s="84"/>
      <c r="B10" s="84"/>
      <c r="C10" s="84"/>
      <c r="D10" s="84"/>
      <c r="E10" s="84"/>
      <c r="F10" s="84"/>
      <c r="G10" s="85"/>
      <c r="H10" s="84"/>
      <c r="I10" s="84"/>
      <c r="J10" s="85"/>
      <c r="K10" s="84"/>
      <c r="L10" s="85"/>
      <c r="M10" s="85"/>
      <c r="N10" s="81"/>
      <c r="P10" s="82"/>
    </row>
    <row r="11" spans="1:16" x14ac:dyDescent="0.25">
      <c r="G11" s="81"/>
      <c r="I11" s="82"/>
      <c r="J11" s="81"/>
      <c r="L11" s="81"/>
      <c r="M11" s="81"/>
      <c r="N11" s="81"/>
      <c r="P11" s="82"/>
    </row>
    <row r="12" spans="1:16" ht="18.75" x14ac:dyDescent="0.3">
      <c r="A12" s="90" t="s">
        <v>64</v>
      </c>
      <c r="B12" s="90"/>
      <c r="C12" s="90"/>
      <c r="D12" s="90"/>
      <c r="E12" s="90"/>
      <c r="F12" s="90"/>
      <c r="G12" s="90"/>
      <c r="H12" s="90"/>
      <c r="I12" s="90"/>
      <c r="J12" s="90"/>
      <c r="K12" s="90"/>
      <c r="L12" s="90"/>
      <c r="M12" s="90"/>
    </row>
    <row r="14" spans="1:16" ht="15" customHeight="1" x14ac:dyDescent="0.25">
      <c r="B14" s="91" t="s">
        <v>67</v>
      </c>
      <c r="C14" s="91"/>
      <c r="D14" s="91"/>
      <c r="E14" s="91"/>
      <c r="F14" s="91"/>
      <c r="G14" s="91"/>
      <c r="H14" s="91"/>
      <c r="I14" s="91"/>
      <c r="J14" s="91"/>
      <c r="K14" s="91"/>
      <c r="L14" s="91"/>
      <c r="M14" s="81"/>
      <c r="N14" s="81"/>
      <c r="P14" s="82"/>
    </row>
    <row r="15" spans="1:16" x14ac:dyDescent="0.25">
      <c r="B15" s="91"/>
      <c r="C15" s="91"/>
      <c r="D15" s="91"/>
      <c r="E15" s="91"/>
      <c r="F15" s="91"/>
      <c r="G15" s="91"/>
      <c r="H15" s="91"/>
      <c r="I15" s="91"/>
      <c r="J15" s="91"/>
      <c r="K15" s="91"/>
      <c r="L15" s="91"/>
      <c r="M15" s="81"/>
      <c r="N15" s="81"/>
      <c r="P15" s="82"/>
    </row>
    <row r="16" spans="1:16" x14ac:dyDescent="0.25">
      <c r="B16" s="91"/>
      <c r="C16" s="91"/>
      <c r="D16" s="91"/>
      <c r="E16" s="91"/>
      <c r="F16" s="91"/>
      <c r="G16" s="91"/>
      <c r="H16" s="91"/>
      <c r="I16" s="91"/>
      <c r="J16" s="91"/>
      <c r="K16" s="91"/>
      <c r="L16" s="91"/>
    </row>
    <row r="17" spans="1:16" x14ac:dyDescent="0.25">
      <c r="B17" s="91"/>
      <c r="C17" s="91"/>
      <c r="D17" s="91"/>
      <c r="E17" s="91"/>
      <c r="F17" s="91"/>
      <c r="G17" s="91"/>
      <c r="H17" s="91"/>
      <c r="I17" s="91"/>
      <c r="J17" s="91"/>
      <c r="K17" s="91"/>
      <c r="L17" s="91"/>
    </row>
    <row r="18" spans="1:16" x14ac:dyDescent="0.25">
      <c r="B18" s="91"/>
      <c r="C18" s="91"/>
      <c r="D18" s="91"/>
      <c r="E18" s="91"/>
      <c r="F18" s="91"/>
      <c r="G18" s="91"/>
      <c r="H18" s="91"/>
      <c r="I18" s="91"/>
      <c r="J18" s="91"/>
      <c r="K18" s="91"/>
      <c r="L18" s="91"/>
      <c r="M18" s="81"/>
      <c r="N18" s="81"/>
      <c r="P18" s="82"/>
    </row>
    <row r="19" spans="1:16" x14ac:dyDescent="0.25">
      <c r="B19" s="91"/>
      <c r="C19" s="91"/>
      <c r="D19" s="91"/>
      <c r="E19" s="91"/>
      <c r="F19" s="91"/>
      <c r="G19" s="91"/>
      <c r="H19" s="91"/>
      <c r="I19" s="91"/>
      <c r="J19" s="91"/>
      <c r="K19" s="91"/>
      <c r="L19" s="91"/>
    </row>
    <row r="20" spans="1:16" x14ac:dyDescent="0.25">
      <c r="B20" s="91"/>
      <c r="C20" s="91"/>
      <c r="D20" s="91"/>
      <c r="E20" s="91"/>
      <c r="F20" s="91"/>
      <c r="G20" s="91"/>
      <c r="H20" s="91"/>
      <c r="I20" s="91"/>
      <c r="J20" s="91"/>
      <c r="K20" s="91"/>
      <c r="L20" s="91"/>
    </row>
    <row r="21" spans="1:16" x14ac:dyDescent="0.25">
      <c r="B21" s="91"/>
      <c r="C21" s="91"/>
      <c r="D21" s="91"/>
      <c r="E21" s="91"/>
      <c r="F21" s="91"/>
      <c r="G21" s="91"/>
      <c r="H21" s="91"/>
      <c r="I21" s="91"/>
      <c r="J21" s="91"/>
      <c r="K21" s="91"/>
      <c r="L21" s="91"/>
      <c r="M21" s="81"/>
      <c r="N21" s="81"/>
      <c r="P21" s="82"/>
    </row>
    <row r="22" spans="1:16" x14ac:dyDescent="0.25">
      <c r="B22" s="91"/>
      <c r="C22" s="91"/>
      <c r="D22" s="91"/>
      <c r="E22" s="91"/>
      <c r="F22" s="91"/>
      <c r="G22" s="91"/>
      <c r="H22" s="91"/>
      <c r="I22" s="91"/>
      <c r="J22" s="91"/>
      <c r="K22" s="91"/>
      <c r="L22" s="91"/>
      <c r="M22" s="81"/>
      <c r="N22" s="81"/>
      <c r="P22" s="82"/>
    </row>
    <row r="23" spans="1:16" x14ac:dyDescent="0.25">
      <c r="B23" s="91"/>
      <c r="C23" s="91"/>
      <c r="D23" s="91"/>
      <c r="E23" s="91"/>
      <c r="F23" s="91"/>
      <c r="G23" s="91"/>
      <c r="H23" s="91"/>
      <c r="I23" s="91"/>
      <c r="J23" s="91"/>
      <c r="K23" s="91"/>
      <c r="L23" s="91"/>
      <c r="M23" s="81"/>
      <c r="N23" s="81"/>
      <c r="P23" s="82"/>
    </row>
    <row r="24" spans="1:16" x14ac:dyDescent="0.25">
      <c r="B24" s="92"/>
      <c r="C24" s="92"/>
      <c r="D24" s="92"/>
      <c r="E24" s="92"/>
      <c r="F24" s="92"/>
      <c r="G24" s="92"/>
      <c r="H24" s="92"/>
      <c r="I24" s="92"/>
      <c r="J24" s="92"/>
      <c r="K24" s="92"/>
      <c r="L24" s="92"/>
      <c r="M24" s="81"/>
      <c r="N24" s="81"/>
      <c r="P24" s="82"/>
    </row>
    <row r="25" spans="1:16" ht="18.75" x14ac:dyDescent="0.3">
      <c r="A25" s="90" t="s">
        <v>65</v>
      </c>
      <c r="B25" s="90"/>
      <c r="C25" s="90"/>
      <c r="D25" s="90"/>
      <c r="E25" s="90"/>
      <c r="F25" s="90"/>
      <c r="G25" s="90"/>
      <c r="H25" s="90"/>
      <c r="I25" s="90"/>
      <c r="J25" s="90"/>
      <c r="K25" s="90"/>
      <c r="L25" s="90"/>
      <c r="M25" s="90"/>
      <c r="N25" s="81"/>
      <c r="P25" s="82"/>
    </row>
    <row r="26" spans="1:16" x14ac:dyDescent="0.25">
      <c r="G26" s="81"/>
      <c r="I26" s="82"/>
      <c r="J26" s="81"/>
      <c r="L26" s="81"/>
      <c r="M26" s="81"/>
      <c r="N26" s="81"/>
      <c r="P26" s="82"/>
    </row>
    <row r="27" spans="1:16" x14ac:dyDescent="0.25">
      <c r="B27" s="91" t="s">
        <v>68</v>
      </c>
      <c r="C27" s="91"/>
      <c r="D27" s="91"/>
      <c r="E27" s="91"/>
      <c r="F27" s="91"/>
      <c r="G27" s="91"/>
      <c r="H27" s="91"/>
      <c r="I27" s="91"/>
      <c r="J27" s="91"/>
      <c r="K27" s="91"/>
      <c r="L27" s="91"/>
      <c r="M27" s="81"/>
      <c r="N27" s="81"/>
      <c r="P27" s="82"/>
    </row>
    <row r="28" spans="1:16" x14ac:dyDescent="0.25">
      <c r="B28" s="91"/>
      <c r="C28" s="91"/>
      <c r="D28" s="91"/>
      <c r="E28" s="91"/>
      <c r="F28" s="91"/>
      <c r="G28" s="91"/>
      <c r="H28" s="91"/>
      <c r="I28" s="91"/>
      <c r="J28" s="91"/>
      <c r="K28" s="91"/>
      <c r="L28" s="91"/>
    </row>
    <row r="29" spans="1:16" x14ac:dyDescent="0.25">
      <c r="B29" s="91"/>
      <c r="C29" s="91"/>
      <c r="D29" s="91"/>
      <c r="E29" s="91"/>
      <c r="F29" s="91"/>
      <c r="G29" s="91"/>
      <c r="H29" s="91"/>
      <c r="I29" s="91"/>
      <c r="J29" s="91"/>
      <c r="K29" s="91"/>
      <c r="L29" s="91"/>
    </row>
    <row r="30" spans="1:16" x14ac:dyDescent="0.25">
      <c r="B30" s="91"/>
      <c r="C30" s="91"/>
      <c r="D30" s="91"/>
      <c r="E30" s="91"/>
      <c r="F30" s="91"/>
      <c r="G30" s="91"/>
      <c r="H30" s="91"/>
      <c r="I30" s="91"/>
      <c r="J30" s="91"/>
      <c r="K30" s="91"/>
      <c r="L30" s="91"/>
    </row>
    <row r="31" spans="1:16" x14ac:dyDescent="0.25">
      <c r="B31" s="91"/>
      <c r="C31" s="91"/>
      <c r="D31" s="91"/>
      <c r="E31" s="91"/>
      <c r="F31" s="91"/>
      <c r="G31" s="91"/>
      <c r="H31" s="91"/>
      <c r="I31" s="91"/>
      <c r="J31" s="91"/>
      <c r="K31" s="91"/>
      <c r="L31" s="91"/>
    </row>
    <row r="32" spans="1:16" x14ac:dyDescent="0.25">
      <c r="B32" s="91"/>
      <c r="C32" s="91"/>
      <c r="D32" s="91"/>
      <c r="E32" s="91"/>
      <c r="F32" s="91"/>
      <c r="G32" s="91"/>
      <c r="H32" s="91"/>
      <c r="I32" s="91"/>
      <c r="J32" s="91"/>
      <c r="K32" s="91"/>
      <c r="L32" s="91"/>
      <c r="M32" s="81"/>
      <c r="N32" s="81"/>
      <c r="P32" s="82"/>
    </row>
    <row r="33" spans="2:16" x14ac:dyDescent="0.25">
      <c r="B33" s="91"/>
      <c r="C33" s="91"/>
      <c r="D33" s="91"/>
      <c r="E33" s="91"/>
      <c r="F33" s="91"/>
      <c r="G33" s="91"/>
      <c r="H33" s="91"/>
      <c r="I33" s="91"/>
      <c r="J33" s="91"/>
      <c r="K33" s="91"/>
      <c r="L33" s="91"/>
      <c r="M33" s="81"/>
      <c r="N33" s="81"/>
      <c r="P33" s="82"/>
    </row>
    <row r="34" spans="2:16" x14ac:dyDescent="0.25">
      <c r="B34" s="91"/>
      <c r="C34" s="91"/>
      <c r="D34" s="91"/>
      <c r="E34" s="91"/>
      <c r="F34" s="91"/>
      <c r="G34" s="91"/>
      <c r="H34" s="91"/>
      <c r="I34" s="91"/>
      <c r="J34" s="91"/>
      <c r="K34" s="91"/>
      <c r="L34" s="91"/>
      <c r="M34" s="81"/>
      <c r="N34" s="81"/>
      <c r="P34" s="82"/>
    </row>
    <row r="35" spans="2:16" x14ac:dyDescent="0.25">
      <c r="B35" s="91"/>
      <c r="C35" s="91"/>
      <c r="D35" s="91"/>
      <c r="E35" s="91"/>
      <c r="F35" s="91"/>
      <c r="G35" s="91"/>
      <c r="H35" s="91"/>
      <c r="I35" s="91"/>
      <c r="J35" s="91"/>
      <c r="K35" s="91"/>
      <c r="L35" s="91"/>
      <c r="M35" s="81"/>
      <c r="N35" s="81"/>
      <c r="P35" s="82"/>
    </row>
    <row r="36" spans="2:16" x14ac:dyDescent="0.25">
      <c r="B36" s="91"/>
      <c r="C36" s="91"/>
      <c r="D36" s="91"/>
      <c r="E36" s="91"/>
      <c r="F36" s="91"/>
      <c r="G36" s="91"/>
      <c r="H36" s="91"/>
      <c r="I36" s="91"/>
      <c r="J36" s="91"/>
      <c r="K36" s="91"/>
      <c r="L36" s="91"/>
    </row>
    <row r="37" spans="2:16" x14ac:dyDescent="0.25">
      <c r="B37" s="93"/>
      <c r="C37" s="93"/>
      <c r="D37" s="93"/>
      <c r="E37" s="93"/>
      <c r="F37" s="93"/>
      <c r="G37" s="93"/>
      <c r="H37" s="93"/>
      <c r="I37" s="93"/>
      <c r="J37" s="93"/>
      <c r="K37" s="93"/>
      <c r="L37" s="93"/>
    </row>
    <row r="38" spans="2:16" x14ac:dyDescent="0.25">
      <c r="B38" s="93"/>
      <c r="C38" s="93"/>
      <c r="D38" s="93"/>
      <c r="E38" s="93"/>
      <c r="F38" s="93"/>
      <c r="G38" s="93"/>
      <c r="H38" s="93"/>
      <c r="I38" s="93"/>
      <c r="J38" s="93"/>
      <c r="K38" s="93"/>
      <c r="L38" s="93"/>
    </row>
    <row r="39" spans="2:16" x14ac:dyDescent="0.25">
      <c r="B39" s="93"/>
      <c r="C39" s="93"/>
      <c r="D39" s="93"/>
      <c r="E39" s="93"/>
      <c r="F39" s="93"/>
      <c r="G39" s="93"/>
      <c r="H39" s="93"/>
      <c r="I39" s="93"/>
      <c r="J39" s="93"/>
      <c r="K39" s="93"/>
      <c r="L39" s="93"/>
    </row>
    <row r="40" spans="2:16" x14ac:dyDescent="0.25">
      <c r="G40" s="81"/>
      <c r="I40" s="82"/>
      <c r="J40" s="81"/>
      <c r="L40" s="81"/>
      <c r="M40" s="81"/>
      <c r="N40" s="81"/>
      <c r="P40" s="82"/>
    </row>
    <row r="41" spans="2:16" x14ac:dyDescent="0.25">
      <c r="G41" s="81"/>
      <c r="I41" s="82"/>
      <c r="J41" s="81"/>
    </row>
    <row r="42" spans="2:16" x14ac:dyDescent="0.25">
      <c r="G42" s="81"/>
      <c r="I42" s="82"/>
      <c r="J42" s="81"/>
    </row>
    <row r="43" spans="2:16" x14ac:dyDescent="0.25">
      <c r="G43" s="81"/>
      <c r="I43" s="82"/>
      <c r="J43" s="81"/>
    </row>
    <row r="44" spans="2:16" x14ac:dyDescent="0.25">
      <c r="G44" s="81"/>
      <c r="I44" s="82"/>
      <c r="J44" s="81"/>
      <c r="L44" s="81"/>
      <c r="M44" s="81"/>
      <c r="N44" s="81"/>
      <c r="P44" s="82"/>
    </row>
    <row r="45" spans="2:16" x14ac:dyDescent="0.25">
      <c r="G45" s="81"/>
      <c r="I45" s="82"/>
      <c r="J45" s="81"/>
    </row>
    <row r="46" spans="2:16" x14ac:dyDescent="0.25">
      <c r="G46" s="81"/>
      <c r="I46" s="82"/>
      <c r="J46" s="81"/>
    </row>
    <row r="47" spans="2:16" x14ac:dyDescent="0.25">
      <c r="G47" s="81"/>
      <c r="I47" s="82"/>
      <c r="J47" s="81"/>
    </row>
    <row r="48" spans="2:16" x14ac:dyDescent="0.25">
      <c r="G48" s="81"/>
      <c r="I48" s="82"/>
      <c r="J48" s="81"/>
    </row>
    <row r="49" spans="7:16" x14ac:dyDescent="0.25">
      <c r="G49" s="81"/>
      <c r="I49" s="82"/>
      <c r="J49" s="81"/>
    </row>
    <row r="50" spans="7:16" x14ac:dyDescent="0.25">
      <c r="G50" s="81"/>
      <c r="I50" s="82"/>
      <c r="J50" s="81"/>
    </row>
    <row r="51" spans="7:16" x14ac:dyDescent="0.25">
      <c r="G51" s="81"/>
      <c r="I51" s="82"/>
      <c r="J51" s="81"/>
      <c r="L51" s="81"/>
      <c r="M51" s="81"/>
      <c r="N51" s="81"/>
      <c r="P51" s="82"/>
    </row>
    <row r="52" spans="7:16" x14ac:dyDescent="0.25">
      <c r="G52" s="81"/>
      <c r="I52" s="82"/>
      <c r="J52" s="81"/>
    </row>
    <row r="53" spans="7:16" x14ac:dyDescent="0.25">
      <c r="G53" s="81"/>
      <c r="I53" s="82"/>
      <c r="J53" s="81"/>
      <c r="L53" s="81"/>
      <c r="M53" s="81"/>
      <c r="N53" s="81"/>
      <c r="P53" s="82"/>
    </row>
    <row r="54" spans="7:16" x14ac:dyDescent="0.25">
      <c r="G54" s="81"/>
      <c r="I54" s="82"/>
      <c r="J54" s="81"/>
    </row>
    <row r="55" spans="7:16" x14ac:dyDescent="0.25">
      <c r="G55" s="81"/>
      <c r="I55" s="82"/>
      <c r="J55" s="81"/>
    </row>
    <row r="56" spans="7:16" x14ac:dyDescent="0.25">
      <c r="G56" s="81"/>
      <c r="I56" s="82"/>
      <c r="J56" s="81"/>
      <c r="L56" s="81"/>
      <c r="M56" s="81"/>
      <c r="N56" s="81"/>
      <c r="P56" s="82"/>
    </row>
    <row r="57" spans="7:16" x14ac:dyDescent="0.25">
      <c r="G57" s="81"/>
      <c r="I57" s="82"/>
      <c r="J57" s="81"/>
    </row>
    <row r="58" spans="7:16" x14ac:dyDescent="0.25">
      <c r="G58" s="81"/>
      <c r="I58" s="82"/>
      <c r="J58" s="81"/>
    </row>
    <row r="59" spans="7:16" x14ac:dyDescent="0.25">
      <c r="G59" s="81"/>
      <c r="I59" s="82"/>
      <c r="J59" s="81"/>
      <c r="L59" s="81"/>
      <c r="M59" s="81"/>
      <c r="N59" s="81"/>
      <c r="P59" s="82"/>
    </row>
    <row r="60" spans="7:16" x14ac:dyDescent="0.25">
      <c r="G60" s="81"/>
      <c r="I60" s="82"/>
      <c r="J60" s="81"/>
    </row>
    <row r="61" spans="7:16" x14ac:dyDescent="0.25">
      <c r="G61" s="81"/>
      <c r="I61" s="82"/>
      <c r="J61" s="81"/>
    </row>
    <row r="62" spans="7:16" x14ac:dyDescent="0.25">
      <c r="G62" s="81"/>
      <c r="I62" s="82"/>
      <c r="J62" s="81"/>
      <c r="L62" s="81"/>
      <c r="M62" s="81"/>
      <c r="N62" s="81"/>
      <c r="P62" s="82"/>
    </row>
    <row r="63" spans="7:16" x14ac:dyDescent="0.25">
      <c r="G63" s="81"/>
      <c r="I63" s="82"/>
      <c r="J63" s="81"/>
    </row>
    <row r="64" spans="7:16" x14ac:dyDescent="0.25">
      <c r="G64" s="81"/>
      <c r="I64" s="82"/>
      <c r="J64" s="81"/>
    </row>
    <row r="65" spans="7:10" x14ac:dyDescent="0.25">
      <c r="G65" s="81"/>
      <c r="I65" s="82"/>
      <c r="J65" s="81"/>
    </row>
    <row r="66" spans="7:10" x14ac:dyDescent="0.25">
      <c r="G66" s="81"/>
      <c r="I66" s="82"/>
      <c r="J66" s="81"/>
    </row>
    <row r="67" spans="7:10" x14ac:dyDescent="0.25">
      <c r="G67" s="81"/>
      <c r="I67" s="82"/>
      <c r="J67" s="81"/>
    </row>
  </sheetData>
  <mergeCells count="5">
    <mergeCell ref="A5:M6"/>
    <mergeCell ref="A12:M12"/>
    <mergeCell ref="B14:L23"/>
    <mergeCell ref="A25:M25"/>
    <mergeCell ref="B27:L36"/>
  </mergeCells>
  <hyperlinks>
    <hyperlink ref="D8" r:id="rId1" xr:uid="{A95CF160-B319-4A06-8934-63C40C1B357D}"/>
    <hyperlink ref="D9" r:id="rId2" xr:uid="{EE702816-8831-435C-86D3-97ED998972A6}"/>
    <hyperlink ref="I8" r:id="rId3" xr:uid="{B22C7009-422F-40F0-AB18-12AF9B836A59}"/>
    <hyperlink ref="I9" r:id="rId4" xr:uid="{93945859-63FE-4E47-9FC1-B235602F590A}"/>
  </hyperlinks>
  <pageMargins left="0.7" right="0.7" top="0.75" bottom="0.75" header="0.3" footer="0.3"/>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F21"/>
  <sheetViews>
    <sheetView workbookViewId="0">
      <selection activeCell="C4" sqref="C4"/>
    </sheetView>
  </sheetViews>
  <sheetFormatPr defaultRowHeight="15" x14ac:dyDescent="0.25"/>
  <cols>
    <col min="1" max="1" width="10.85546875" customWidth="1"/>
    <col min="2" max="2" width="36.5703125" bestFit="1" customWidth="1"/>
    <col min="3" max="3" width="11.5703125" bestFit="1" customWidth="1"/>
  </cols>
  <sheetData>
    <row r="3" spans="2:6" x14ac:dyDescent="0.25">
      <c r="B3" t="s">
        <v>17</v>
      </c>
      <c r="C3" s="1" t="s">
        <v>58</v>
      </c>
      <c r="F3" t="s">
        <v>4</v>
      </c>
    </row>
    <row r="4" spans="2:6" x14ac:dyDescent="0.25">
      <c r="B4" t="s">
        <v>16</v>
      </c>
      <c r="C4" s="1">
        <v>2021</v>
      </c>
      <c r="F4" t="s">
        <v>4</v>
      </c>
    </row>
    <row r="5" spans="2:6" x14ac:dyDescent="0.25">
      <c r="B5" t="s">
        <v>3</v>
      </c>
      <c r="C5" s="3">
        <v>0.1</v>
      </c>
      <c r="F5" t="s">
        <v>4</v>
      </c>
    </row>
    <row r="7" spans="2:6" x14ac:dyDescent="0.25">
      <c r="B7" t="s">
        <v>12</v>
      </c>
      <c r="C7" s="11" cm="1">
        <f t="array" ref="C7">_xldudf_OPTIONSAMURAI_STOCK($C$3, F7)</f>
        <v>343.3</v>
      </c>
      <c r="F7" t="s">
        <v>18</v>
      </c>
    </row>
    <row r="8" spans="2:6" x14ac:dyDescent="0.25">
      <c r="B8" t="s">
        <v>1</v>
      </c>
      <c r="C8" s="11" cm="1">
        <f t="array" ref="C8">_xldudf_OPTIONSAMURAI_STOCK($C$3, F8)</f>
        <v>32.229999999999997</v>
      </c>
      <c r="F8" t="s">
        <v>45</v>
      </c>
    </row>
    <row r="9" spans="2:6" x14ac:dyDescent="0.25">
      <c r="B9" t="s">
        <v>2</v>
      </c>
      <c r="C9" s="11" cm="1">
        <f t="array" ref="C9">_xldudf_OPTIONSAMURAI_STOCK($C$3, F9)</f>
        <v>10.68</v>
      </c>
      <c r="F9" t="s">
        <v>22</v>
      </c>
    </row>
    <row r="10" spans="2:6" x14ac:dyDescent="0.25">
      <c r="B10" t="s">
        <v>23</v>
      </c>
      <c r="C10" s="12" cm="1">
        <f t="array" ref="C10">_xldudf_OPTIONSAMURAI_STOCK($C$3, F10)</f>
        <v>0.2969</v>
      </c>
      <c r="F10" t="s">
        <v>19</v>
      </c>
    </row>
    <row r="11" spans="2:6" x14ac:dyDescent="0.25">
      <c r="B11" t="s">
        <v>24</v>
      </c>
      <c r="C11" s="12" cm="1">
        <f t="array" ref="C11">_xldudf_OPTIONSAMURAI_STOCK($C$3, F11)</f>
        <v>0.1686</v>
      </c>
      <c r="F11" t="s">
        <v>21</v>
      </c>
    </row>
    <row r="12" spans="2:6" x14ac:dyDescent="0.25">
      <c r="B12" t="s">
        <v>25</v>
      </c>
      <c r="C12" s="12" cm="1">
        <f t="array" ref="C12">_xldudf_OPTIONSAMURAI_STOCK($C$3, F12)</f>
        <v>0.90500000000000003</v>
      </c>
      <c r="F12" t="s">
        <v>20</v>
      </c>
    </row>
    <row r="13" spans="2:6" x14ac:dyDescent="0.25">
      <c r="C13" s="11"/>
    </row>
    <row r="14" spans="2:6" x14ac:dyDescent="0.25">
      <c r="B14" t="s">
        <v>34</v>
      </c>
      <c r="C14" s="11" cm="1">
        <f t="array" ref="C14">_xldudf_OPTIONSAMURAI_STOCK($C$3, F14)</f>
        <v>2.1</v>
      </c>
      <c r="F14" t="s">
        <v>26</v>
      </c>
    </row>
    <row r="15" spans="2:6" x14ac:dyDescent="0.25">
      <c r="B15" t="s">
        <v>31</v>
      </c>
      <c r="C15" s="11" cm="1">
        <f t="array" ref="C15">_xldudf_OPTIONSAMURAI_STOCK($C$3, F15)</f>
        <v>0</v>
      </c>
      <c r="F15" t="s">
        <v>27</v>
      </c>
    </row>
    <row r="16" spans="2:6" x14ac:dyDescent="0.25">
      <c r="B16" t="s">
        <v>32</v>
      </c>
      <c r="C16" s="11" cm="1">
        <f t="array" ref="C16">_xldudf_OPTIONSAMURAI_STOCK($C$3, F16)</f>
        <v>0</v>
      </c>
      <c r="F16" t="s">
        <v>30</v>
      </c>
    </row>
    <row r="17" spans="2:6" x14ac:dyDescent="0.25">
      <c r="B17" t="s">
        <v>33</v>
      </c>
      <c r="C17" s="12" cm="1">
        <f t="array" ref="C17">_xldudf_OPTIONSAMURAI_STOCK($C$3, F17)</f>
        <v>0.48089135</v>
      </c>
      <c r="D17">
        <f>C7*(1+C17)</f>
        <v>508.39000045500001</v>
      </c>
      <c r="F17" t="s">
        <v>28</v>
      </c>
    </row>
    <row r="18" spans="2:6" x14ac:dyDescent="0.25">
      <c r="B18" t="s">
        <v>35</v>
      </c>
      <c r="C18" s="11" t="str" cm="1">
        <f t="array" ref="C18">_xldudf_OPTIONSAMURAI_STOCK($C$3, F18)</f>
        <v>7/7/5</v>
      </c>
      <c r="F18" t="s">
        <v>29</v>
      </c>
    </row>
    <row r="19" spans="2:6" x14ac:dyDescent="0.25">
      <c r="C19" s="11"/>
    </row>
    <row r="20" spans="2:6" x14ac:dyDescent="0.25">
      <c r="B20" t="s">
        <v>14</v>
      </c>
      <c r="C20" s="12" cm="1">
        <f t="array" ref="C20">_xldudf_OPTIONSAMURAI_STOCK($C$3, F20)</f>
        <v>-0.51029999999999998</v>
      </c>
      <c r="D20">
        <f>C7/(1+C20)</f>
        <v>701.04145395139881</v>
      </c>
      <c r="F20" t="s">
        <v>36</v>
      </c>
    </row>
    <row r="21" spans="2:6" x14ac:dyDescent="0.25">
      <c r="B21" t="s">
        <v>15</v>
      </c>
      <c r="C21" s="12" cm="1">
        <f t="array" ref="C21">_xldudf_OPTIONSAMURAI_STOCK($C$3, F21)</f>
        <v>4.0899999999999999E-2</v>
      </c>
      <c r="D21">
        <f>C7/(1+C21)</f>
        <v>329.81074070515905</v>
      </c>
      <c r="F21" t="s">
        <v>37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G37"/>
  <sheetViews>
    <sheetView workbookViewId="0">
      <selection activeCell="P18" sqref="P18"/>
    </sheetView>
  </sheetViews>
  <sheetFormatPr defaultRowHeight="15" x14ac:dyDescent="0.25"/>
  <cols>
    <col min="3" max="3" width="28.85546875" bestFit="1" customWidth="1"/>
    <col min="4" max="7" width="11.85546875" customWidth="1"/>
  </cols>
  <sheetData>
    <row r="2" spans="3:7" x14ac:dyDescent="0.25">
      <c r="D2" s="4"/>
    </row>
    <row r="3" spans="3:7" x14ac:dyDescent="0.25">
      <c r="C3" s="4" t="s">
        <v>7</v>
      </c>
    </row>
    <row r="4" spans="3:7" x14ac:dyDescent="0.25">
      <c r="C4" s="4"/>
      <c r="D4" s="4"/>
    </row>
    <row r="5" spans="3:7" x14ac:dyDescent="0.25">
      <c r="C5" s="13" t="s">
        <v>38</v>
      </c>
      <c r="D5" s="17">
        <f>Input!C4</f>
        <v>2021</v>
      </c>
      <c r="E5" s="17">
        <f>D5+1</f>
        <v>2022</v>
      </c>
      <c r="F5" s="17">
        <f>E5+1</f>
        <v>2023</v>
      </c>
      <c r="G5" s="17">
        <f>F5+1</f>
        <v>2024</v>
      </c>
    </row>
    <row r="6" spans="3:7" x14ac:dyDescent="0.25">
      <c r="C6" s="13"/>
      <c r="D6" s="13"/>
      <c r="E6" s="13"/>
      <c r="F6" s="13"/>
      <c r="G6" s="13"/>
    </row>
    <row r="7" spans="3:7" x14ac:dyDescent="0.25">
      <c r="C7" s="23" t="s">
        <v>0</v>
      </c>
      <c r="D7" s="23">
        <f>Input!C9</f>
        <v>10.68</v>
      </c>
      <c r="E7" s="25">
        <f>D7*(1+E8)</f>
        <v>13.850891999999998</v>
      </c>
      <c r="F7" s="25">
        <f>E7*(1+F9)</f>
        <v>16.1861523912</v>
      </c>
      <c r="G7" s="25">
        <f>F7*(1+G9)</f>
        <v>18.915137684356321</v>
      </c>
    </row>
    <row r="8" spans="3:7" x14ac:dyDescent="0.25">
      <c r="C8" s="23" t="s">
        <v>39</v>
      </c>
      <c r="D8" s="23"/>
      <c r="E8" s="26">
        <f>Input!C10</f>
        <v>0.2969</v>
      </c>
      <c r="F8" s="26"/>
      <c r="G8" s="26"/>
    </row>
    <row r="9" spans="3:7" x14ac:dyDescent="0.25">
      <c r="C9" s="23" t="s">
        <v>40</v>
      </c>
      <c r="D9" s="23"/>
      <c r="E9" s="27"/>
      <c r="F9" s="28">
        <f>Input!C11</f>
        <v>0.1686</v>
      </c>
      <c r="G9" s="28">
        <f>F9</f>
        <v>0.1686</v>
      </c>
    </row>
    <row r="10" spans="3:7" ht="15.75" thickBot="1" x14ac:dyDescent="0.3">
      <c r="C10" s="13"/>
      <c r="D10" s="13"/>
      <c r="E10" s="13"/>
      <c r="F10" s="13"/>
      <c r="G10" s="14"/>
    </row>
    <row r="11" spans="3:7" ht="15.75" thickBot="1" x14ac:dyDescent="0.3">
      <c r="C11" s="13" t="s">
        <v>41</v>
      </c>
      <c r="D11" s="16"/>
      <c r="E11" s="16"/>
      <c r="F11" s="16"/>
      <c r="G11" s="19"/>
    </row>
    <row r="12" spans="3:7" x14ac:dyDescent="0.25">
      <c r="C12" s="13"/>
      <c r="D12" s="13"/>
      <c r="E12" s="13"/>
      <c r="F12" s="13"/>
      <c r="G12" s="15"/>
    </row>
    <row r="13" spans="3:7" x14ac:dyDescent="0.25">
      <c r="C13" s="17" t="s">
        <v>0</v>
      </c>
      <c r="D13" s="18">
        <f>IF(D11=0,D7,D11)</f>
        <v>10.68</v>
      </c>
      <c r="E13" s="18">
        <f t="shared" ref="E13:G13" si="0">IF(E11=0,E7,E11)</f>
        <v>13.850891999999998</v>
      </c>
      <c r="F13" s="18">
        <f t="shared" si="0"/>
        <v>16.1861523912</v>
      </c>
      <c r="G13" s="18">
        <f t="shared" si="0"/>
        <v>18.915137684356321</v>
      </c>
    </row>
    <row r="14" spans="3:7" x14ac:dyDescent="0.25">
      <c r="C14" s="13"/>
      <c r="D14" s="13"/>
      <c r="E14" s="29">
        <f>E13/D13-1</f>
        <v>0.29689999999999994</v>
      </c>
      <c r="F14" s="29">
        <f t="shared" ref="F14:G14" si="1">F13/E13-1</f>
        <v>0.16860000000000008</v>
      </c>
      <c r="G14" s="29">
        <f t="shared" si="1"/>
        <v>0.16860000000000008</v>
      </c>
    </row>
    <row r="15" spans="3:7" x14ac:dyDescent="0.25">
      <c r="C15" s="13"/>
      <c r="D15" s="13"/>
      <c r="E15" s="29"/>
      <c r="F15" s="29"/>
      <c r="G15" s="29"/>
    </row>
    <row r="16" spans="3:7" x14ac:dyDescent="0.25">
      <c r="C16" s="13" t="s">
        <v>44</v>
      </c>
      <c r="D16" s="14">
        <f>(G13/D13)^(1/3)-1</f>
        <v>0.20989055029043424</v>
      </c>
      <c r="E16" s="13"/>
      <c r="F16" s="13"/>
      <c r="G16" s="20">
        <f>IF(D16&gt;D17*1.05,1,IF(D16&lt;D17*0.9,-1,0))</f>
        <v>-1</v>
      </c>
    </row>
    <row r="17" spans="3:7" x14ac:dyDescent="0.25">
      <c r="C17" s="13" t="s">
        <v>42</v>
      </c>
      <c r="D17" s="14">
        <f>Input!C12</f>
        <v>0.90500000000000003</v>
      </c>
      <c r="F17" s="17" t="str">
        <f>IF(G16=-1,"Model growth is below historical growth = More conservative",IF(G16=1,"Model growth is higher than historical growth = make sure there is a good reason","Model Growth is similar to historical growth"))</f>
        <v>Model growth is below historical growth = More conservative</v>
      </c>
      <c r="G17" s="14"/>
    </row>
    <row r="18" spans="3:7" x14ac:dyDescent="0.25">
      <c r="D18" s="13"/>
      <c r="E18" s="13"/>
      <c r="F18" s="13"/>
      <c r="G18" s="13"/>
    </row>
    <row r="19" spans="3:7" ht="15.75" thickBot="1" x14ac:dyDescent="0.3">
      <c r="C19" s="23" t="s">
        <v>1</v>
      </c>
      <c r="D19" s="24">
        <f>Input!C8</f>
        <v>32.229999999999997</v>
      </c>
    </row>
    <row r="20" spans="3:7" ht="15.75" thickBot="1" x14ac:dyDescent="0.3">
      <c r="C20" s="13" t="s">
        <v>46</v>
      </c>
      <c r="D20" s="21"/>
    </row>
    <row r="21" spans="3:7" x14ac:dyDescent="0.25">
      <c r="C21" s="17" t="s">
        <v>1</v>
      </c>
      <c r="D21" s="22">
        <f>IF(D20=0,D19,D20)</f>
        <v>32.229999999999997</v>
      </c>
    </row>
    <row r="23" spans="3:7" x14ac:dyDescent="0.25">
      <c r="C23" t="s">
        <v>47</v>
      </c>
      <c r="D23" s="10">
        <f>D21*G13</f>
        <v>609.6348875668042</v>
      </c>
    </row>
    <row r="24" spans="3:7" x14ac:dyDescent="0.25">
      <c r="C24" s="22" t="s">
        <v>6</v>
      </c>
      <c r="D24" s="30">
        <f>PV(Input!C5,3,0,-D23)</f>
        <v>458.02771417490908</v>
      </c>
    </row>
    <row r="26" spans="3:7" x14ac:dyDescent="0.25">
      <c r="C26" t="s">
        <v>48</v>
      </c>
      <c r="D26">
        <f>Input!C7</f>
        <v>343.3</v>
      </c>
    </row>
    <row r="27" spans="3:7" x14ac:dyDescent="0.25">
      <c r="C27" s="22" t="s">
        <v>8</v>
      </c>
      <c r="D27" s="31">
        <f>D24/D26-1</f>
        <v>0.33419083651298886</v>
      </c>
    </row>
    <row r="29" spans="3:7" x14ac:dyDescent="0.25">
      <c r="C29" s="4" t="s">
        <v>11</v>
      </c>
      <c r="E29" s="4" t="s">
        <v>12</v>
      </c>
      <c r="F29" s="4" t="s">
        <v>8</v>
      </c>
      <c r="G29" s="4" t="s">
        <v>49</v>
      </c>
    </row>
    <row r="30" spans="3:7" x14ac:dyDescent="0.25">
      <c r="C30" t="str">
        <f>"Future Price if PE is "&amp;$D$21</f>
        <v>Future Price if PE is 32.23</v>
      </c>
      <c r="E30" s="33">
        <f>D23</f>
        <v>609.6348875668042</v>
      </c>
      <c r="F30" s="12">
        <f>E30/$D$26-1</f>
        <v>0.77580800339878864</v>
      </c>
      <c r="G30" s="34">
        <f>(E30/$D$26)^(1/3)-1</f>
        <v>0.21096614850967876</v>
      </c>
    </row>
    <row r="31" spans="3:7" x14ac:dyDescent="0.25">
      <c r="C31" t="str">
        <f>"Future Price if PE is "&amp;$D$21*0.75</f>
        <v>Future Price if PE is 24.1725</v>
      </c>
      <c r="E31" s="33">
        <f>$G$13*$D$21*0.75</f>
        <v>457.22616567510318</v>
      </c>
      <c r="F31" s="12">
        <f t="shared" ref="F31:F37" si="2">E31/$D$26-1</f>
        <v>0.33185600254909153</v>
      </c>
      <c r="G31" s="34">
        <f t="shared" ref="G31:G34" si="3">(E31/$D$26)^(1/3)-1</f>
        <v>0.10023576283978008</v>
      </c>
    </row>
    <row r="32" spans="3:7" x14ac:dyDescent="0.25">
      <c r="C32" t="str">
        <f>"Future Price if PE is "&amp;ROUND($D$21*1.25,1)</f>
        <v>Future Price if PE is 40.3</v>
      </c>
      <c r="E32" s="33">
        <f>$G$13*$D$21*1.25</f>
        <v>762.04360945850522</v>
      </c>
      <c r="F32" s="12">
        <f t="shared" si="2"/>
        <v>1.219760004248486</v>
      </c>
      <c r="G32" s="34">
        <f t="shared" si="3"/>
        <v>0.30447373940177691</v>
      </c>
    </row>
    <row r="33" spans="3:7" x14ac:dyDescent="0.25">
      <c r="C33" t="str">
        <f>"Future Price if PEG=2 (PE= "&amp;ROUND(D16*100*2,1)&amp;")"</f>
        <v>Future Price if PEG=2 (PE= 42)</v>
      </c>
      <c r="E33" s="33">
        <f>$G$13*D16*100*2</f>
        <v>794.02173147777569</v>
      </c>
      <c r="F33" s="12">
        <f t="shared" si="2"/>
        <v>1.3129092090817815</v>
      </c>
      <c r="G33" s="34">
        <f t="shared" si="3"/>
        <v>0.32247111505396497</v>
      </c>
    </row>
    <row r="34" spans="3:7" x14ac:dyDescent="0.25">
      <c r="C34" t="str">
        <f>"Future Price if PEG=1 (PE= "&amp;ROUND(D16*100,1)&amp;")"</f>
        <v>Future Price if PEG=1 (PE= 21)</v>
      </c>
      <c r="E34" s="33">
        <f>$G$13*D16*100</f>
        <v>397.01086573888784</v>
      </c>
      <c r="F34" s="12">
        <f t="shared" si="2"/>
        <v>0.15645460454089077</v>
      </c>
      <c r="G34" s="34">
        <f t="shared" si="3"/>
        <v>4.9646019617110904E-2</v>
      </c>
    </row>
    <row r="35" spans="3:7" x14ac:dyDescent="0.25">
      <c r="C35" t="s">
        <v>13</v>
      </c>
      <c r="E35" s="33">
        <f>Input!D17</f>
        <v>508.39000045500001</v>
      </c>
      <c r="F35" s="12">
        <f t="shared" si="2"/>
        <v>0.48089135000000005</v>
      </c>
      <c r="G35" s="34">
        <f t="shared" ref="G35:G37" si="4">(E35/$D$26)^(1/3)-1</f>
        <v>0.13983257775248248</v>
      </c>
    </row>
    <row r="36" spans="3:7" x14ac:dyDescent="0.25">
      <c r="C36" t="s">
        <v>14</v>
      </c>
      <c r="E36" s="33">
        <f>Input!D20</f>
        <v>701.04145395139881</v>
      </c>
      <c r="F36" s="12">
        <f t="shared" si="2"/>
        <v>1.0420665713702264</v>
      </c>
      <c r="G36" s="34">
        <f t="shared" si="4"/>
        <v>0.26869325805333721</v>
      </c>
    </row>
    <row r="37" spans="3:7" x14ac:dyDescent="0.25">
      <c r="C37" t="s">
        <v>15</v>
      </c>
      <c r="E37" s="33">
        <f>Input!D21</f>
        <v>329.81074070515905</v>
      </c>
      <c r="F37" s="12">
        <f t="shared" si="2"/>
        <v>-3.9292919588817199E-2</v>
      </c>
      <c r="G37" s="34">
        <f t="shared" si="4"/>
        <v>-1.3273033838256731E-2</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P26"/>
  <sheetViews>
    <sheetView workbookViewId="0">
      <selection activeCell="L22" sqref="L22"/>
    </sheetView>
  </sheetViews>
  <sheetFormatPr defaultRowHeight="15" x14ac:dyDescent="0.25"/>
  <cols>
    <col min="3" max="3" width="18.7109375" bestFit="1" customWidth="1"/>
    <col min="5" max="5" width="11.7109375" style="77" bestFit="1" customWidth="1"/>
    <col min="6" max="6" width="5.7109375" customWidth="1"/>
    <col min="8" max="8" width="10.7109375" bestFit="1" customWidth="1"/>
  </cols>
  <sheetData>
    <row r="3" spans="3:16" ht="15.75" thickBot="1" x14ac:dyDescent="0.3">
      <c r="C3" s="4" t="s">
        <v>50</v>
      </c>
      <c r="H3" s="5" t="s">
        <v>6</v>
      </c>
    </row>
    <row r="4" spans="3:16" ht="15.75" thickBot="1" x14ac:dyDescent="0.3">
      <c r="H4" s="37" t="s">
        <v>9</v>
      </c>
      <c r="I4" s="38">
        <f>L4*0.5</f>
        <v>16.114999999999998</v>
      </c>
      <c r="J4" s="38">
        <f>L4*0.75</f>
        <v>24.172499999999999</v>
      </c>
      <c r="K4" s="38">
        <f>L4*0.9</f>
        <v>29.006999999999998</v>
      </c>
      <c r="L4" s="39">
        <f>D7</f>
        <v>32.229999999999997</v>
      </c>
      <c r="M4" s="39">
        <f>L4*1.1</f>
        <v>35.453000000000003</v>
      </c>
      <c r="N4" s="39">
        <f>L4*1.25</f>
        <v>40.287499999999994</v>
      </c>
      <c r="O4" s="40">
        <f>L4*1.5</f>
        <v>48.344999999999999</v>
      </c>
      <c r="P4" s="53">
        <f>D12</f>
        <v>20</v>
      </c>
    </row>
    <row r="5" spans="3:16" x14ac:dyDescent="0.25">
      <c r="C5" t="s">
        <v>43</v>
      </c>
      <c r="D5" s="36">
        <f>'EPS-PE Model'!D16</f>
        <v>0.20989055029043424</v>
      </c>
      <c r="E5" s="78" t="s">
        <v>54</v>
      </c>
      <c r="H5" s="41">
        <f>H9*0.5</f>
        <v>0.10494527514521712</v>
      </c>
      <c r="I5" s="64">
        <f t="shared" ref="I5:O12" si="0">PV($D$8,3,0,-FV($H5,3,0,-$D$6,)*I$4)</f>
        <v>174.43989418045524</v>
      </c>
      <c r="J5" s="65">
        <f t="shared" si="0"/>
        <v>261.65984127068288</v>
      </c>
      <c r="K5" s="65">
        <f t="shared" si="0"/>
        <v>313.99180952481942</v>
      </c>
      <c r="L5" s="66">
        <f t="shared" si="0"/>
        <v>348.87978836091048</v>
      </c>
      <c r="M5" s="65">
        <f t="shared" si="0"/>
        <v>383.7677671970016</v>
      </c>
      <c r="N5" s="65">
        <f t="shared" si="0"/>
        <v>436.09973545113809</v>
      </c>
      <c r="O5" s="67">
        <f t="shared" si="0"/>
        <v>523.31968254136575</v>
      </c>
      <c r="P5" s="6"/>
    </row>
    <row r="6" spans="3:16" x14ac:dyDescent="0.25">
      <c r="C6" t="s">
        <v>53</v>
      </c>
      <c r="D6" s="32">
        <f>'EPS-PE Model'!D7</f>
        <v>10.68</v>
      </c>
      <c r="E6" s="78" t="s">
        <v>55</v>
      </c>
      <c r="H6" s="41">
        <f>H9*0.7</f>
        <v>0.14692338520330395</v>
      </c>
      <c r="I6" s="68">
        <f t="shared" si="0"/>
        <v>195.08628145408005</v>
      </c>
      <c r="J6" s="42">
        <f t="shared" si="0"/>
        <v>292.62942218112011</v>
      </c>
      <c r="K6" s="42">
        <f t="shared" si="0"/>
        <v>351.15530661734408</v>
      </c>
      <c r="L6" s="43">
        <f t="shared" si="0"/>
        <v>390.1725629081601</v>
      </c>
      <c r="M6" s="42">
        <f t="shared" si="0"/>
        <v>429.18981919897618</v>
      </c>
      <c r="N6" s="42">
        <f t="shared" si="0"/>
        <v>487.7157036352001</v>
      </c>
      <c r="O6" s="44">
        <f t="shared" si="0"/>
        <v>585.25884436224021</v>
      </c>
      <c r="P6" s="6"/>
    </row>
    <row r="7" spans="3:16" x14ac:dyDescent="0.25">
      <c r="C7" t="s">
        <v>51</v>
      </c>
      <c r="D7" s="11">
        <f>'EPS-PE Model'!D21</f>
        <v>32.229999999999997</v>
      </c>
      <c r="E7" s="78" t="s">
        <v>54</v>
      </c>
      <c r="H7" s="41">
        <f>H9*0.8</f>
        <v>0.16791244023234742</v>
      </c>
      <c r="I7" s="68">
        <f t="shared" si="0"/>
        <v>205.99390016690745</v>
      </c>
      <c r="J7" s="42">
        <f t="shared" si="0"/>
        <v>308.99085025036123</v>
      </c>
      <c r="K7" s="42">
        <f t="shared" si="0"/>
        <v>370.78902030043344</v>
      </c>
      <c r="L7" s="43">
        <f t="shared" si="0"/>
        <v>411.9878003338149</v>
      </c>
      <c r="M7" s="42">
        <f t="shared" si="0"/>
        <v>453.18658036719654</v>
      </c>
      <c r="N7" s="42">
        <f t="shared" si="0"/>
        <v>514.98475041726874</v>
      </c>
      <c r="O7" s="44">
        <f t="shared" si="0"/>
        <v>617.98170050072247</v>
      </c>
      <c r="P7" s="6"/>
    </row>
    <row r="8" spans="3:16" x14ac:dyDescent="0.25">
      <c r="C8" t="s">
        <v>3</v>
      </c>
      <c r="D8" s="35">
        <f>Input!C5</f>
        <v>0.1</v>
      </c>
      <c r="E8" s="78" t="s">
        <v>55</v>
      </c>
      <c r="H8" s="41">
        <f>H9*0.9</f>
        <v>0.18890149526139083</v>
      </c>
      <c r="I8" s="68">
        <f t="shared" si="0"/>
        <v>217.30070075517492</v>
      </c>
      <c r="J8" s="42">
        <f t="shared" si="0"/>
        <v>325.95105113276236</v>
      </c>
      <c r="K8" s="42">
        <f t="shared" si="0"/>
        <v>391.1412613593148</v>
      </c>
      <c r="L8" s="43">
        <f t="shared" si="0"/>
        <v>434.60140151034983</v>
      </c>
      <c r="M8" s="42">
        <f t="shared" si="0"/>
        <v>478.06154166138487</v>
      </c>
      <c r="N8" s="42">
        <f t="shared" si="0"/>
        <v>543.2517518879373</v>
      </c>
      <c r="O8" s="44">
        <f t="shared" si="0"/>
        <v>651.90210226552472</v>
      </c>
      <c r="P8" s="6"/>
    </row>
    <row r="9" spans="3:16" x14ac:dyDescent="0.25">
      <c r="C9" t="s">
        <v>10</v>
      </c>
      <c r="D9" s="11">
        <f>'EPS-PE Model'!D26</f>
        <v>343.3</v>
      </c>
      <c r="E9" s="78" t="s">
        <v>55</v>
      </c>
      <c r="H9" s="45">
        <f>D5</f>
        <v>0.20989055029043424</v>
      </c>
      <c r="I9" s="69">
        <f t="shared" si="0"/>
        <v>229.0138570874546</v>
      </c>
      <c r="J9" s="43">
        <f t="shared" si="0"/>
        <v>343.52078563118187</v>
      </c>
      <c r="K9" s="43">
        <f t="shared" si="0"/>
        <v>412.22494275741821</v>
      </c>
      <c r="L9" s="46">
        <f t="shared" si="0"/>
        <v>458.02771417490919</v>
      </c>
      <c r="M9" s="43">
        <f t="shared" si="0"/>
        <v>503.83048559240012</v>
      </c>
      <c r="N9" s="43">
        <f t="shared" si="0"/>
        <v>572.53464271863641</v>
      </c>
      <c r="O9" s="47">
        <f t="shared" si="0"/>
        <v>687.04157126236373</v>
      </c>
      <c r="P9" s="6"/>
    </row>
    <row r="10" spans="3:16" x14ac:dyDescent="0.25">
      <c r="E10" s="78"/>
      <c r="H10" s="41">
        <f>H9*1.1</f>
        <v>0.23087960531947768</v>
      </c>
      <c r="I10" s="68">
        <f t="shared" si="0"/>
        <v>241.14054303231879</v>
      </c>
      <c r="J10" s="42">
        <f t="shared" si="0"/>
        <v>361.71081454847814</v>
      </c>
      <c r="K10" s="42">
        <f t="shared" si="0"/>
        <v>434.05297745817381</v>
      </c>
      <c r="L10" s="43">
        <f t="shared" si="0"/>
        <v>482.28108606463758</v>
      </c>
      <c r="M10" s="42">
        <f t="shared" si="0"/>
        <v>530.50919467110134</v>
      </c>
      <c r="N10" s="42">
        <f t="shared" si="0"/>
        <v>602.85135758079696</v>
      </c>
      <c r="O10" s="44">
        <f t="shared" si="0"/>
        <v>723.42162909695628</v>
      </c>
      <c r="P10" s="6"/>
    </row>
    <row r="11" spans="3:16" x14ac:dyDescent="0.25">
      <c r="C11" s="4" t="s">
        <v>52</v>
      </c>
      <c r="E11" s="78"/>
      <c r="H11" s="41">
        <f>H9*1.2</f>
        <v>0.25186866034852107</v>
      </c>
      <c r="I11" s="68">
        <f t="shared" si="0"/>
        <v>253.68793245833979</v>
      </c>
      <c r="J11" s="42">
        <f t="shared" si="0"/>
        <v>380.53189868750968</v>
      </c>
      <c r="K11" s="42">
        <f t="shared" si="0"/>
        <v>456.63827842501166</v>
      </c>
      <c r="L11" s="43">
        <f t="shared" si="0"/>
        <v>507.37586491667957</v>
      </c>
      <c r="M11" s="42">
        <f t="shared" si="0"/>
        <v>558.1134514083476</v>
      </c>
      <c r="N11" s="42">
        <f t="shared" si="0"/>
        <v>634.21983114584941</v>
      </c>
      <c r="O11" s="44">
        <f t="shared" si="0"/>
        <v>761.06379737501936</v>
      </c>
      <c r="P11" s="6"/>
    </row>
    <row r="12" spans="3:16" ht="15.75" thickBot="1" x14ac:dyDescent="0.3">
      <c r="C12" t="s">
        <v>1</v>
      </c>
      <c r="D12" s="1">
        <v>20</v>
      </c>
      <c r="E12" s="78" t="s">
        <v>56</v>
      </c>
      <c r="H12" s="48">
        <f>H9*1.5</f>
        <v>0.31483582543565136</v>
      </c>
      <c r="I12" s="70">
        <f t="shared" si="0"/>
        <v>293.92606030906694</v>
      </c>
      <c r="J12" s="49">
        <f t="shared" si="0"/>
        <v>440.88909046360044</v>
      </c>
      <c r="K12" s="49">
        <f t="shared" si="0"/>
        <v>529.06690855632041</v>
      </c>
      <c r="L12" s="50">
        <f t="shared" si="0"/>
        <v>587.85212061813388</v>
      </c>
      <c r="M12" s="49">
        <f t="shared" si="0"/>
        <v>646.63733267994735</v>
      </c>
      <c r="N12" s="49">
        <f t="shared" si="0"/>
        <v>734.81515077266727</v>
      </c>
      <c r="O12" s="51">
        <f t="shared" si="0"/>
        <v>881.77818092720088</v>
      </c>
      <c r="P12" s="7"/>
    </row>
    <row r="13" spans="3:16" ht="15.75" thickBot="1" x14ac:dyDescent="0.3">
      <c r="C13" t="s">
        <v>5</v>
      </c>
      <c r="D13" s="2">
        <v>0.15</v>
      </c>
      <c r="E13" s="78" t="s">
        <v>56</v>
      </c>
      <c r="H13" s="52">
        <f>D13</f>
        <v>0.15</v>
      </c>
      <c r="I13" s="8"/>
      <c r="J13" s="8"/>
      <c r="K13" s="8"/>
      <c r="L13" s="8"/>
      <c r="M13" s="8"/>
      <c r="N13" s="8"/>
      <c r="O13" s="9"/>
      <c r="P13" s="54">
        <f>PV($D$8,3,0,-FV($H13,3,0,-$D$6,)*P$4)</f>
        <v>244.07129977460539</v>
      </c>
    </row>
    <row r="16" spans="3:16" ht="15.75" thickBot="1" x14ac:dyDescent="0.3">
      <c r="H16" s="5" t="s">
        <v>57</v>
      </c>
    </row>
    <row r="17" spans="8:16" ht="15.75" thickBot="1" x14ac:dyDescent="0.3">
      <c r="H17" s="37" t="s">
        <v>9</v>
      </c>
      <c r="I17" s="38">
        <f>I4</f>
        <v>16.114999999999998</v>
      </c>
      <c r="J17" s="38">
        <f t="shared" ref="J17:O17" si="1">J4</f>
        <v>24.172499999999999</v>
      </c>
      <c r="K17" s="38">
        <f t="shared" si="1"/>
        <v>29.006999999999998</v>
      </c>
      <c r="L17" s="38">
        <f t="shared" si="1"/>
        <v>32.229999999999997</v>
      </c>
      <c r="M17" s="38">
        <f t="shared" si="1"/>
        <v>35.453000000000003</v>
      </c>
      <c r="N17" s="38">
        <f t="shared" si="1"/>
        <v>40.287499999999994</v>
      </c>
      <c r="O17" s="38">
        <f t="shared" si="1"/>
        <v>48.344999999999999</v>
      </c>
      <c r="P17" s="53">
        <f>P4</f>
        <v>20</v>
      </c>
    </row>
    <row r="18" spans="8:16" x14ac:dyDescent="0.25">
      <c r="H18" s="41">
        <f>H5</f>
        <v>0.10494527514521712</v>
      </c>
      <c r="I18" s="56">
        <f t="shared" ref="I18:O25" si="2">I5/$D$9-1</f>
        <v>-0.49187330562057896</v>
      </c>
      <c r="J18" s="57">
        <f t="shared" si="2"/>
        <v>-0.23780995843086838</v>
      </c>
      <c r="K18" s="57">
        <f t="shared" si="2"/>
        <v>-8.5371950117042239E-2</v>
      </c>
      <c r="L18" s="71">
        <f t="shared" si="2"/>
        <v>1.625338875884208E-2</v>
      </c>
      <c r="M18" s="57">
        <f t="shared" si="2"/>
        <v>0.1178787276347264</v>
      </c>
      <c r="N18" s="57">
        <f t="shared" si="2"/>
        <v>0.27031673594855254</v>
      </c>
      <c r="O18" s="58">
        <f t="shared" si="2"/>
        <v>0.52438008313826323</v>
      </c>
      <c r="P18" s="6"/>
    </row>
    <row r="19" spans="8:16" x14ac:dyDescent="0.25">
      <c r="H19" s="41">
        <f t="shared" ref="H19:H25" si="3">H6</f>
        <v>0.14692338520330395</v>
      </c>
      <c r="I19" s="59">
        <f t="shared" si="2"/>
        <v>-0.43173235812968236</v>
      </c>
      <c r="J19" s="55">
        <f t="shared" si="2"/>
        <v>-0.14759853719452343</v>
      </c>
      <c r="K19" s="55">
        <f t="shared" si="2"/>
        <v>2.2881755366571666E-2</v>
      </c>
      <c r="L19" s="72">
        <f t="shared" si="2"/>
        <v>0.13653528374063528</v>
      </c>
      <c r="M19" s="55">
        <f t="shared" si="2"/>
        <v>0.2501888121146989</v>
      </c>
      <c r="N19" s="55">
        <f t="shared" si="2"/>
        <v>0.42066910467579399</v>
      </c>
      <c r="O19" s="60">
        <f t="shared" si="2"/>
        <v>0.70480292561095315</v>
      </c>
      <c r="P19" s="6"/>
    </row>
    <row r="20" spans="8:16" x14ac:dyDescent="0.25">
      <c r="H20" s="41">
        <f t="shared" si="3"/>
        <v>0.16791244023234742</v>
      </c>
      <c r="I20" s="59">
        <f t="shared" si="2"/>
        <v>-0.3999595101459148</v>
      </c>
      <c r="J20" s="55">
        <f t="shared" si="2"/>
        <v>-9.9939265218872086E-2</v>
      </c>
      <c r="K20" s="55">
        <f t="shared" si="2"/>
        <v>8.0072881737353496E-2</v>
      </c>
      <c r="L20" s="72">
        <f t="shared" si="2"/>
        <v>0.2000809797081704</v>
      </c>
      <c r="M20" s="55">
        <f t="shared" si="2"/>
        <v>0.32008907767898775</v>
      </c>
      <c r="N20" s="55">
        <f t="shared" si="2"/>
        <v>0.50010122463521323</v>
      </c>
      <c r="O20" s="60">
        <f t="shared" si="2"/>
        <v>0.80012146956225583</v>
      </c>
      <c r="P20" s="6"/>
    </row>
    <row r="21" spans="8:16" x14ac:dyDescent="0.25">
      <c r="H21" s="41">
        <f t="shared" si="3"/>
        <v>0.18890149526139083</v>
      </c>
      <c r="I21" s="59">
        <f t="shared" si="2"/>
        <v>-0.36702388361440463</v>
      </c>
      <c r="J21" s="55">
        <f t="shared" si="2"/>
        <v>-5.053582542160695E-2</v>
      </c>
      <c r="K21" s="55">
        <f t="shared" si="2"/>
        <v>0.1393570094940717</v>
      </c>
      <c r="L21" s="72">
        <f t="shared" si="2"/>
        <v>0.26595223277119073</v>
      </c>
      <c r="M21" s="55">
        <f t="shared" si="2"/>
        <v>0.39254745604830998</v>
      </c>
      <c r="N21" s="55">
        <f t="shared" si="2"/>
        <v>0.58244029096398853</v>
      </c>
      <c r="O21" s="60">
        <f t="shared" si="2"/>
        <v>0.8989283491567861</v>
      </c>
      <c r="P21" s="6"/>
    </row>
    <row r="22" spans="8:16" x14ac:dyDescent="0.25">
      <c r="H22" s="41">
        <f t="shared" si="3"/>
        <v>0.20989055029043424</v>
      </c>
      <c r="I22" s="45">
        <f t="shared" si="2"/>
        <v>-0.33290458174350546</v>
      </c>
      <c r="J22" s="74">
        <f t="shared" si="2"/>
        <v>6.4312738474181508E-4</v>
      </c>
      <c r="K22" s="74">
        <f t="shared" si="2"/>
        <v>0.20077175286169013</v>
      </c>
      <c r="L22" s="76">
        <f t="shared" si="2"/>
        <v>0.33419083651298909</v>
      </c>
      <c r="M22" s="74">
        <f t="shared" si="2"/>
        <v>0.46760992016428804</v>
      </c>
      <c r="N22" s="74">
        <f t="shared" si="2"/>
        <v>0.66773854564123614</v>
      </c>
      <c r="O22" s="75">
        <f t="shared" si="2"/>
        <v>1.0012862547694836</v>
      </c>
      <c r="P22" s="6"/>
    </row>
    <row r="23" spans="8:16" x14ac:dyDescent="0.25">
      <c r="H23" s="41">
        <f t="shared" si="3"/>
        <v>0.23087960531947768</v>
      </c>
      <c r="I23" s="59">
        <f t="shared" si="2"/>
        <v>-0.29758070774157075</v>
      </c>
      <c r="J23" s="55">
        <f t="shared" si="2"/>
        <v>5.3628938387643821E-2</v>
      </c>
      <c r="K23" s="55">
        <f t="shared" si="2"/>
        <v>0.26435472606517263</v>
      </c>
      <c r="L23" s="72">
        <f t="shared" si="2"/>
        <v>0.4048385845168585</v>
      </c>
      <c r="M23" s="55">
        <f t="shared" si="2"/>
        <v>0.5453224429685446</v>
      </c>
      <c r="N23" s="55">
        <f t="shared" si="2"/>
        <v>0.75604823064607318</v>
      </c>
      <c r="O23" s="60">
        <f t="shared" si="2"/>
        <v>1.1072578767752876</v>
      </c>
      <c r="P23" s="6"/>
    </row>
    <row r="24" spans="8:16" x14ac:dyDescent="0.25">
      <c r="H24" s="41">
        <f t="shared" si="3"/>
        <v>0.25186866034852107</v>
      </c>
      <c r="I24" s="59">
        <f t="shared" si="2"/>
        <v>-0.26103136481695377</v>
      </c>
      <c r="J24" s="55">
        <f t="shared" si="2"/>
        <v>0.10845295277456946</v>
      </c>
      <c r="K24" s="55">
        <f t="shared" si="2"/>
        <v>0.33014354332948348</v>
      </c>
      <c r="L24" s="72">
        <f t="shared" si="2"/>
        <v>0.47793727036609246</v>
      </c>
      <c r="M24" s="55">
        <f t="shared" si="2"/>
        <v>0.62573099740270188</v>
      </c>
      <c r="N24" s="55">
        <f t="shared" si="2"/>
        <v>0.84742158795761546</v>
      </c>
      <c r="O24" s="60">
        <f t="shared" si="2"/>
        <v>1.2169059055491389</v>
      </c>
      <c r="P24" s="6"/>
    </row>
    <row r="25" spans="8:16" ht="15.75" thickBot="1" x14ac:dyDescent="0.3">
      <c r="H25" s="41">
        <f t="shared" si="3"/>
        <v>0.31483582543565136</v>
      </c>
      <c r="I25" s="61">
        <f t="shared" si="2"/>
        <v>-0.14382155459054202</v>
      </c>
      <c r="J25" s="62">
        <f t="shared" si="2"/>
        <v>0.28426766811418713</v>
      </c>
      <c r="K25" s="62">
        <f t="shared" si="2"/>
        <v>0.54112120173702416</v>
      </c>
      <c r="L25" s="73">
        <f t="shared" si="2"/>
        <v>0.71235689081891596</v>
      </c>
      <c r="M25" s="62">
        <f t="shared" si="2"/>
        <v>0.88359257990080775</v>
      </c>
      <c r="N25" s="62">
        <f t="shared" si="2"/>
        <v>1.1404461135236446</v>
      </c>
      <c r="O25" s="63">
        <f t="shared" si="2"/>
        <v>1.5685353362283743</v>
      </c>
      <c r="P25" s="7"/>
    </row>
    <row r="26" spans="8:16" ht="15.75" thickBot="1" x14ac:dyDescent="0.3">
      <c r="H26" s="52">
        <f>D13</f>
        <v>0.15</v>
      </c>
      <c r="I26" s="8"/>
      <c r="J26" s="8"/>
      <c r="K26" s="8"/>
      <c r="L26" s="8"/>
      <c r="M26" s="8"/>
      <c r="N26" s="8"/>
      <c r="O26" s="9"/>
      <c r="P26" s="79">
        <f>P13/$D$9-1</f>
        <v>-0.28904369421903475</v>
      </c>
    </row>
  </sheetData>
  <conditionalFormatting sqref="I18:O25">
    <cfRule type="colorScale" priority="1">
      <colorScale>
        <cfvo type="min"/>
        <cfvo type="percentile" val="50"/>
        <cfvo type="max"/>
        <color rgb="FFF8696B"/>
        <color rgb="FFFFEB84"/>
        <color rgb="FF63BE7B"/>
      </colorScale>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Input</vt:lpstr>
      <vt:lpstr>EPS-PE Model</vt:lpstr>
      <vt:lpstr>Sensitivity Analysis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Leav Graves</dc:creator>
  <cp:lastModifiedBy>Leav Graves</cp:lastModifiedBy>
  <dcterms:created xsi:type="dcterms:W3CDTF">2015-06-05T18:17:20Z</dcterms:created>
  <dcterms:modified xsi:type="dcterms:W3CDTF">2022-05-31T21:03:44Z</dcterms:modified>
</cp:coreProperties>
</file>